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798" activeTab="0"/>
  </bookViews>
  <sheets>
    <sheet name="Retail" sheetId="1" r:id="rId1"/>
    <sheet name="Inputs" sheetId="2" r:id="rId2"/>
    <sheet name="Sample data - all" sheetId="3" r:id="rId3"/>
    <sheet name="Sample data Club" sheetId="4" r:id="rId4"/>
    <sheet name="Sample data E-commerce" sheetId="5" r:id="rId5"/>
    <sheet name="Break Even Calculations" sheetId="6" r:id="rId6"/>
    <sheet name="Scenario 1" sheetId="7" r:id="rId7"/>
    <sheet name="Scenario 2" sheetId="8" r:id="rId8"/>
    <sheet name="Scenario 3" sheetId="9" r:id="rId9"/>
  </sheets>
  <definedNames>
    <definedName name="_xlnm.Print_Area" localSheetId="5">'Break Even Calculations'!$B$1:$E$24</definedName>
    <definedName name="_xlnm.Print_Area" localSheetId="0">'Retail'!$A$2:$M$56</definedName>
    <definedName name="_xlnm.Print_Area" localSheetId="2">'Sample data - all'!$A$1:$F$41</definedName>
    <definedName name="_xlnm.Print_Area" localSheetId="3">'Sample data Club'!$A$1:$J$30</definedName>
    <definedName name="_xlnm.Print_Area" localSheetId="4">'Sample data E-commerce'!$A$1:$J$22</definedName>
    <definedName name="_xlnm.Print_Area" localSheetId="6">'Scenario 1'!$A$2:$M$56</definedName>
    <definedName name="_xlnm.Print_Area" localSheetId="7">'Scenario 2'!$A$2:$M$56</definedName>
    <definedName name="_xlnm.Print_Area" localSheetId="8">'Scenario 3'!$A$2:$M$56</definedName>
  </definedNames>
  <calcPr fullCalcOnLoad="1"/>
</workbook>
</file>

<file path=xl/comments1.xml><?xml version="1.0" encoding="utf-8"?>
<comments xmlns="http://schemas.openxmlformats.org/spreadsheetml/2006/main">
  <authors>
    <author>geni</author>
    <author>Geni</author>
  </authors>
  <commentList>
    <comment ref="D4" authorId="0">
      <text>
        <r>
          <rPr>
            <b/>
            <sz val="9"/>
            <rFont val="Tahoma"/>
            <family val="2"/>
          </rPr>
          <t>geni:</t>
        </r>
        <r>
          <rPr>
            <sz val="9"/>
            <rFont val="Tahoma"/>
            <family val="2"/>
          </rPr>
          <t xml:space="preserve">
Enter changes in the yellow cells</t>
        </r>
      </text>
    </comment>
    <comment ref="D13" authorId="1">
      <text>
        <r>
          <rPr>
            <b/>
            <sz val="8"/>
            <rFont val="Tahoma"/>
            <family val="2"/>
          </rPr>
          <t>Geni:</t>
        </r>
        <r>
          <rPr>
            <sz val="8"/>
            <rFont val="Tahoma"/>
            <family val="2"/>
          </rPr>
          <t xml:space="preserve">
Enter as decimal %</t>
        </r>
      </text>
    </comment>
    <comment ref="H13" authorId="1">
      <text>
        <r>
          <rPr>
            <b/>
            <sz val="8"/>
            <rFont val="Tahoma"/>
            <family val="2"/>
          </rPr>
          <t>Geni:</t>
        </r>
        <r>
          <rPr>
            <sz val="8"/>
            <rFont val="Tahoma"/>
            <family val="2"/>
          </rPr>
          <t xml:space="preserve">
Enter as dollars per case.
</t>
        </r>
      </text>
    </comment>
    <comment ref="F2" authorId="1">
      <text>
        <r>
          <rPr>
            <b/>
            <sz val="8"/>
            <rFont val="Tahoma"/>
            <family val="2"/>
          </rPr>
          <t>Geni:</t>
        </r>
        <r>
          <rPr>
            <sz val="8"/>
            <rFont val="Tahoma"/>
            <family val="2"/>
          </rPr>
          <t xml:space="preserve">
Enter time period being analyzed - updates description only.
</t>
        </r>
      </text>
    </comment>
    <comment ref="D10" authorId="0">
      <text>
        <r>
          <rPr>
            <b/>
            <sz val="9"/>
            <rFont val="Tahoma"/>
            <family val="0"/>
          </rPr>
          <t>geni:</t>
        </r>
        <r>
          <rPr>
            <sz val="9"/>
            <rFont val="Tahoma"/>
            <family val="0"/>
          </rPr>
          <t xml:space="preserve">
Can be typed or pulled from the calculation in column J.  </t>
        </r>
      </text>
    </comment>
  </commentList>
</comments>
</file>

<file path=xl/comments3.xml><?xml version="1.0" encoding="utf-8"?>
<comments xmlns="http://schemas.openxmlformats.org/spreadsheetml/2006/main">
  <authors>
    <author>Craig Underhill</author>
  </authors>
  <commentList>
    <comment ref="A16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How often they purchase.</t>
        </r>
      </text>
    </comment>
    <comment ref="A19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9 liter equivalents</t>
        </r>
      </text>
    </comment>
    <comment ref="A28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Includes all other company costs.  </t>
        </r>
      </text>
    </comment>
    <comment ref="C11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Reflects # of accounts we lose annually.</t>
        </r>
      </text>
    </comment>
    <comment ref="C47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Assumed to be 2% of sales.</t>
        </r>
      </text>
    </comment>
    <comment ref="E47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Assumed to be 2% of sales.</t>
        </r>
      </text>
    </comment>
  </commentList>
</comments>
</file>

<file path=xl/comments4.xml><?xml version="1.0" encoding="utf-8"?>
<comments xmlns="http://schemas.openxmlformats.org/spreadsheetml/2006/main">
  <authors>
    <author>Craig Underhill</author>
    <author>Geni</author>
  </authors>
  <commentList>
    <comment ref="C3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Insert current data in yellow cells.</t>
        </r>
      </text>
    </comment>
    <comment ref="D3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Insert your what if in the orange cells.</t>
        </r>
      </text>
    </comment>
    <comment ref="C12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Reflects # of accounts we lose annually.</t>
        </r>
      </text>
    </comment>
    <comment ref="A17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How often they purchase.</t>
        </r>
      </text>
    </comment>
    <comment ref="A20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9 liter equivalents</t>
        </r>
      </text>
    </comment>
    <comment ref="C48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Assumed to be 2% of sales.</t>
        </r>
      </text>
    </comment>
    <comment ref="E48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Assumed to be 2% of sales.</t>
        </r>
      </text>
    </comment>
    <comment ref="C9" authorId="1">
      <text>
        <r>
          <rPr>
            <b/>
            <sz val="8"/>
            <rFont val="Tahoma"/>
            <family val="2"/>
          </rPr>
          <t>Geni:</t>
        </r>
        <r>
          <rPr>
            <sz val="8"/>
            <rFont val="Tahoma"/>
            <family val="2"/>
          </rPr>
          <t xml:space="preserve">
New accounts added
</t>
        </r>
      </text>
    </comment>
  </commentList>
</comments>
</file>

<file path=xl/comments5.xml><?xml version="1.0" encoding="utf-8"?>
<comments xmlns="http://schemas.openxmlformats.org/spreadsheetml/2006/main">
  <authors>
    <author>Craig Underhill</author>
    <author>Geni</author>
  </authors>
  <commentList>
    <comment ref="C3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Insert current data in yellow cells.</t>
        </r>
      </text>
    </comment>
    <comment ref="D3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Insert your what if in the orange cells.</t>
        </r>
      </text>
    </comment>
    <comment ref="C8" authorId="1">
      <text>
        <r>
          <rPr>
            <b/>
            <sz val="8"/>
            <rFont val="Tahoma"/>
            <family val="2"/>
          </rPr>
          <t>Geni:</t>
        </r>
        <r>
          <rPr>
            <sz val="8"/>
            <rFont val="Tahoma"/>
            <family val="2"/>
          </rPr>
          <t xml:space="preserve">
New accounts added
</t>
        </r>
      </text>
    </comment>
    <comment ref="C10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Reflects # of accounts we lose annually.</t>
        </r>
      </text>
    </comment>
    <comment ref="A13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How often they purchase.</t>
        </r>
      </text>
    </comment>
    <comment ref="A15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9 liter equivalents</t>
        </r>
      </text>
    </comment>
  </commentList>
</comments>
</file>

<file path=xl/comments7.xml><?xml version="1.0" encoding="utf-8"?>
<comments xmlns="http://schemas.openxmlformats.org/spreadsheetml/2006/main">
  <authors>
    <author>geni</author>
    <author>Geni</author>
  </authors>
  <commentList>
    <comment ref="D4" authorId="0">
      <text>
        <r>
          <rPr>
            <b/>
            <sz val="9"/>
            <rFont val="Tahoma"/>
            <family val="2"/>
          </rPr>
          <t>geni:</t>
        </r>
        <r>
          <rPr>
            <sz val="9"/>
            <rFont val="Tahoma"/>
            <family val="2"/>
          </rPr>
          <t xml:space="preserve">
Enter changes in the yellow cells</t>
        </r>
      </text>
    </comment>
    <comment ref="D13" authorId="1">
      <text>
        <r>
          <rPr>
            <b/>
            <sz val="8"/>
            <rFont val="Tahoma"/>
            <family val="2"/>
          </rPr>
          <t>Geni:</t>
        </r>
        <r>
          <rPr>
            <sz val="8"/>
            <rFont val="Tahoma"/>
            <family val="2"/>
          </rPr>
          <t xml:space="preserve">
Enter as decimal %</t>
        </r>
      </text>
    </comment>
    <comment ref="H13" authorId="1">
      <text>
        <r>
          <rPr>
            <b/>
            <sz val="8"/>
            <rFont val="Tahoma"/>
            <family val="2"/>
          </rPr>
          <t>Geni:</t>
        </r>
        <r>
          <rPr>
            <sz val="8"/>
            <rFont val="Tahoma"/>
            <family val="2"/>
          </rPr>
          <t xml:space="preserve">
Enter as dollars per case.
</t>
        </r>
      </text>
    </comment>
  </commentList>
</comments>
</file>

<file path=xl/comments8.xml><?xml version="1.0" encoding="utf-8"?>
<comments xmlns="http://schemas.openxmlformats.org/spreadsheetml/2006/main">
  <authors>
    <author>geni</author>
    <author>Geni</author>
  </authors>
  <commentList>
    <comment ref="D4" authorId="0">
      <text>
        <r>
          <rPr>
            <b/>
            <sz val="9"/>
            <rFont val="Tahoma"/>
            <family val="2"/>
          </rPr>
          <t>geni:</t>
        </r>
        <r>
          <rPr>
            <sz val="9"/>
            <rFont val="Tahoma"/>
            <family val="2"/>
          </rPr>
          <t xml:space="preserve">
Enter changes in the yellow cells</t>
        </r>
      </text>
    </comment>
    <comment ref="D13" authorId="1">
      <text>
        <r>
          <rPr>
            <b/>
            <sz val="8"/>
            <rFont val="Tahoma"/>
            <family val="2"/>
          </rPr>
          <t>Geni:</t>
        </r>
        <r>
          <rPr>
            <sz val="8"/>
            <rFont val="Tahoma"/>
            <family val="2"/>
          </rPr>
          <t xml:space="preserve">
Enter as decimal %</t>
        </r>
      </text>
    </comment>
    <comment ref="H13" authorId="1">
      <text>
        <r>
          <rPr>
            <b/>
            <sz val="8"/>
            <rFont val="Tahoma"/>
            <family val="2"/>
          </rPr>
          <t>Geni:</t>
        </r>
        <r>
          <rPr>
            <sz val="8"/>
            <rFont val="Tahoma"/>
            <family val="2"/>
          </rPr>
          <t xml:space="preserve">
Enter as dollars per case.
</t>
        </r>
      </text>
    </comment>
  </commentList>
</comments>
</file>

<file path=xl/comments9.xml><?xml version="1.0" encoding="utf-8"?>
<comments xmlns="http://schemas.openxmlformats.org/spreadsheetml/2006/main">
  <authors>
    <author>geni</author>
    <author>Geni</author>
  </authors>
  <commentList>
    <comment ref="D4" authorId="0">
      <text>
        <r>
          <rPr>
            <b/>
            <sz val="9"/>
            <rFont val="Tahoma"/>
            <family val="2"/>
          </rPr>
          <t>geni:</t>
        </r>
        <r>
          <rPr>
            <sz val="9"/>
            <rFont val="Tahoma"/>
            <family val="2"/>
          </rPr>
          <t xml:space="preserve">
Enter changes in the yellow cells</t>
        </r>
      </text>
    </comment>
    <comment ref="D13" authorId="1">
      <text>
        <r>
          <rPr>
            <b/>
            <sz val="8"/>
            <rFont val="Tahoma"/>
            <family val="2"/>
          </rPr>
          <t>Geni:</t>
        </r>
        <r>
          <rPr>
            <sz val="8"/>
            <rFont val="Tahoma"/>
            <family val="2"/>
          </rPr>
          <t xml:space="preserve">
Enter as decimal %</t>
        </r>
      </text>
    </comment>
    <comment ref="H13" authorId="1">
      <text>
        <r>
          <rPr>
            <b/>
            <sz val="8"/>
            <rFont val="Tahoma"/>
            <family val="2"/>
          </rPr>
          <t>Geni:</t>
        </r>
        <r>
          <rPr>
            <sz val="8"/>
            <rFont val="Tahoma"/>
            <family val="2"/>
          </rPr>
          <t xml:space="preserve">
Enter as dollars per case.
</t>
        </r>
      </text>
    </comment>
  </commentList>
</comments>
</file>

<file path=xl/sharedStrings.xml><?xml version="1.0" encoding="utf-8"?>
<sst xmlns="http://schemas.openxmlformats.org/spreadsheetml/2006/main" count="526" uniqueCount="148">
  <si>
    <t>What If</t>
  </si>
  <si>
    <t>Current</t>
  </si>
  <si>
    <t>Result</t>
  </si>
  <si>
    <t>Existing # Customers</t>
  </si>
  <si>
    <t xml:space="preserve">                                </t>
  </si>
  <si>
    <t>Acquisition Rate</t>
  </si>
  <si>
    <t>Attrition Rate</t>
  </si>
  <si>
    <r>
      <t xml:space="preserve">x </t>
    </r>
    <r>
      <rPr>
        <b/>
        <sz val="10"/>
        <color indexed="12"/>
        <rFont val="Arial"/>
        <family val="2"/>
      </rPr>
      <t>F</t>
    </r>
    <r>
      <rPr>
        <b/>
        <sz val="10"/>
        <rFont val="Arial"/>
        <family val="2"/>
      </rPr>
      <t>requency</t>
    </r>
  </si>
  <si>
    <r>
      <t>Total</t>
    </r>
    <r>
      <rPr>
        <b/>
        <sz val="10"/>
        <color indexed="5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# </t>
    </r>
    <r>
      <rPr>
        <b/>
        <sz val="10"/>
        <rFont val="Arial"/>
        <family val="2"/>
      </rPr>
      <t>Customers</t>
    </r>
  </si>
  <si>
    <t>x Average Cases Sold</t>
  </si>
  <si>
    <t>x Average Case Price</t>
  </si>
  <si>
    <t xml:space="preserve">  Total</t>
  </si>
  <si>
    <t>Operating Expenses</t>
  </si>
  <si>
    <t>Administrative</t>
  </si>
  <si>
    <t xml:space="preserve">  Total Revenue</t>
  </si>
  <si>
    <t>Revenue</t>
  </si>
  <si>
    <t>Cost of Goods Sold</t>
  </si>
  <si>
    <t xml:space="preserve">  Total Operating Expenses</t>
  </si>
  <si>
    <t>DATA INPUT</t>
  </si>
  <si>
    <t>PROFIT PLANNER OUTPUT</t>
  </si>
  <si>
    <t>Incremental Change</t>
  </si>
  <si>
    <t>Cost of Sales</t>
  </si>
  <si>
    <t>Operations</t>
  </si>
  <si>
    <t xml:space="preserve">    Total Gross Profit</t>
  </si>
  <si>
    <t>Samples</t>
  </si>
  <si>
    <t>Production Impact - Estimated Cases Required</t>
  </si>
  <si>
    <t>Retail</t>
  </si>
  <si>
    <t>FOB</t>
  </si>
  <si>
    <t>Operations (% of sales)</t>
  </si>
  <si>
    <t>Industry ----&gt;</t>
  </si>
  <si>
    <t>Number of visitors buying per day</t>
  </si>
  <si>
    <t>Days open</t>
  </si>
  <si>
    <t>Conversion Ratio</t>
  </si>
  <si>
    <t>Average price per case</t>
  </si>
  <si>
    <t>Volume Calculations</t>
  </si>
  <si>
    <t>Average Cases per Customer per day</t>
  </si>
  <si>
    <t>Total cases sold</t>
  </si>
  <si>
    <t>COGS - Cab</t>
  </si>
  <si>
    <t>COGS - Chard</t>
  </si>
  <si>
    <t>Revised average price per case - mix</t>
  </si>
  <si>
    <t>Revised average price per case - price</t>
  </si>
  <si>
    <t>A. Mix</t>
  </si>
  <si>
    <t>A.</t>
  </si>
  <si>
    <t>B.</t>
  </si>
  <si>
    <t>Price Calculations</t>
  </si>
  <si>
    <t>Analysis</t>
  </si>
  <si>
    <t xml:space="preserve">Bottles </t>
  </si>
  <si>
    <t>Cases</t>
  </si>
  <si>
    <t>Increase</t>
  </si>
  <si>
    <t>Costs</t>
  </si>
  <si>
    <t>.</t>
  </si>
  <si>
    <t>Volume Change</t>
  </si>
  <si>
    <t>PROFIT PLANNER - Volume</t>
  </si>
  <si>
    <t>Wine Club</t>
  </si>
  <si>
    <t>E-commerce</t>
  </si>
  <si>
    <t>Wine Club - Basic</t>
  </si>
  <si>
    <t>Wine Club - Basic 10% disc</t>
  </si>
  <si>
    <t>Cab</t>
  </si>
  <si>
    <t>Chard</t>
  </si>
  <si>
    <t>COGS in Dollars</t>
  </si>
  <si>
    <t>Existing # Cases</t>
  </si>
  <si>
    <r>
      <t>Total</t>
    </r>
    <r>
      <rPr>
        <b/>
        <sz val="10"/>
        <color indexed="5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# </t>
    </r>
    <r>
      <rPr>
        <b/>
        <sz val="10"/>
        <rFont val="Arial"/>
        <family val="2"/>
      </rPr>
      <t>Cases</t>
    </r>
  </si>
  <si>
    <t>Wine Club - KIN</t>
  </si>
  <si>
    <t>Wine Club - KIN 20% disc</t>
  </si>
  <si>
    <t>Cases sold</t>
  </si>
  <si>
    <t>Avg per Case Price</t>
  </si>
  <si>
    <t>Incremental</t>
  </si>
  <si>
    <t>Online</t>
  </si>
  <si>
    <t>Online - Chardonnay Only</t>
  </si>
  <si>
    <t>Administrative - fixed costs</t>
  </si>
  <si>
    <t>Online sales</t>
  </si>
  <si>
    <t>Channel Mix</t>
  </si>
  <si>
    <r>
      <t xml:space="preserve">Le Cou Rouge Winery Profit Equation Planner   </t>
    </r>
    <r>
      <rPr>
        <b/>
        <sz val="8"/>
        <rFont val="Arial"/>
        <family val="2"/>
      </rPr>
      <t xml:space="preserve">  </t>
    </r>
  </si>
  <si>
    <t>Wine Club - Basic (3 bottles)</t>
  </si>
  <si>
    <t>Wine Club - KIN (6 bottles)</t>
  </si>
  <si>
    <t>Online (2 bottles)</t>
  </si>
  <si>
    <t>Revenu</t>
  </si>
  <si>
    <t xml:space="preserve">Average Number of visitors per day </t>
  </si>
  <si>
    <t>Visitors</t>
  </si>
  <si>
    <t>Buyers</t>
  </si>
  <si>
    <t>Year</t>
  </si>
  <si>
    <t>Month</t>
  </si>
  <si>
    <t>Sales $</t>
  </si>
  <si>
    <t>Qty (9L)</t>
  </si>
  <si>
    <t>SKU</t>
  </si>
  <si>
    <t>Description</t>
  </si>
  <si>
    <t>Case Price</t>
  </si>
  <si>
    <t>Bottle</t>
  </si>
  <si>
    <t xml:space="preserve"> Chg in Cases</t>
  </si>
  <si>
    <t>Revised $/Bottle</t>
  </si>
  <si>
    <t>B. Pricing per Case/Discounts</t>
  </si>
  <si>
    <t>Revised average price per case - mix+price</t>
  </si>
  <si>
    <t>C.</t>
  </si>
  <si>
    <t>Percentage</t>
  </si>
  <si>
    <t>Monthly revenue impact of volume increase</t>
  </si>
  <si>
    <t>Monthly revenue impact of mix change</t>
  </si>
  <si>
    <t>Monthly revenue impact of price increase</t>
  </si>
  <si>
    <t>Combined monthly revenue impact of mix + price increase</t>
  </si>
  <si>
    <t>SAMPLE</t>
  </si>
  <si>
    <t>Cases per buyer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</si>
  <si>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</si>
  <si>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</si>
  <si>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</si>
  <si>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</si>
  <si>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</si>
  <si>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</si>
  <si>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</si>
  <si>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</si>
  <si>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</si>
  <si>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</si>
  <si>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</si>
  <si>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</si>
  <si>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</si>
  <si>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</si>
  <si>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Monthly Results</t>
  </si>
  <si>
    <t>Annual Results</t>
  </si>
  <si>
    <r>
      <t xml:space="preserve">Profit Equation Planner   </t>
    </r>
    <r>
      <rPr>
        <b/>
        <sz val="8"/>
        <color indexed="10"/>
        <rFont val="Arial"/>
        <family val="2"/>
      </rPr>
      <t xml:space="preserve">  - Overall Model - Sample DATA only</t>
    </r>
  </si>
  <si>
    <t xml:space="preserve">SAMPLE Retail Profit Equation Planner </t>
  </si>
  <si>
    <t>Chardonnay</t>
  </si>
  <si>
    <t>Cabernet</t>
  </si>
  <si>
    <t>Trade</t>
  </si>
  <si>
    <t>DTC</t>
  </si>
  <si>
    <t>Total</t>
  </si>
  <si>
    <t># Cases</t>
  </si>
  <si>
    <t>Price per Case</t>
  </si>
  <si>
    <t xml:space="preserve">Variable </t>
  </si>
  <si>
    <t>Direct Costs</t>
  </si>
  <si>
    <t>Cost per Case</t>
  </si>
  <si>
    <t>Profit per Case</t>
  </si>
  <si>
    <t>Sales &amp; Marketing</t>
  </si>
  <si>
    <t>Budget $</t>
  </si>
  <si>
    <t>Net Investment</t>
  </si>
  <si>
    <t>Profit Per Case</t>
  </si>
  <si>
    <t xml:space="preserve">Profit Potential </t>
  </si>
  <si>
    <t>Investment</t>
  </si>
  <si>
    <t>ROI</t>
  </si>
  <si>
    <t>Break Even Number of Units</t>
  </si>
  <si>
    <t>300 more cases</t>
  </si>
  <si>
    <t>Scenario 1</t>
  </si>
  <si>
    <t>Scenario 3</t>
  </si>
  <si>
    <t>Scenario 2</t>
  </si>
  <si>
    <t>10% conversion of existing cases</t>
  </si>
  <si>
    <t>+300 incremental cases</t>
  </si>
  <si>
    <t>Sample - adding SB  at $10 per bottle</t>
  </si>
  <si>
    <t>Add new buyers, but dilute the mix</t>
  </si>
  <si>
    <t>Annual</t>
  </si>
  <si>
    <t>Model</t>
  </si>
  <si>
    <t xml:space="preserve">Le Cou Rouge Winery Retail Profit Equation Planner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</si>
</sst>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_([$$-409]* #,##0.00_);_([$$-409]* \(#,##0.00\);_([$$-409]* &quot;-&quot;??_);_(@_)"/>
    <numFmt numFmtId="169" formatCode="0.0000"/>
    <numFmt numFmtId="170" formatCode="_(* #,##0.0000_);_(* \(#,##0.0000\);_(* &quot;-&quot;??_);_(@_)"/>
  </numFmts>
  <fonts count="9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0"/>
      <color indexed="5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8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0"/>
      <color indexed="23"/>
      <name val="Arial"/>
      <family val="2"/>
    </font>
    <font>
      <i/>
      <sz val="9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1"/>
      <color indexed="10"/>
      <name val="Arial"/>
      <family val="2"/>
    </font>
    <font>
      <i/>
      <sz val="8"/>
      <color indexed="10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0"/>
      <color theme="3"/>
      <name val="Arial"/>
      <family val="2"/>
    </font>
    <font>
      <sz val="11"/>
      <color rgb="FF222222"/>
      <name val="Calibri"/>
      <family val="2"/>
    </font>
    <font>
      <sz val="10"/>
      <color theme="0" tint="-0.4999699890613556"/>
      <name val="Arial"/>
      <family val="2"/>
    </font>
    <font>
      <i/>
      <sz val="9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i/>
      <sz val="11"/>
      <color rgb="FFFF0000"/>
      <name val="Arial"/>
      <family val="2"/>
    </font>
    <font>
      <sz val="10"/>
      <color theme="5"/>
      <name val="Arial"/>
      <family val="2"/>
    </font>
    <font>
      <b/>
      <sz val="10"/>
      <color theme="5"/>
      <name val="Arial"/>
      <family val="2"/>
    </font>
    <font>
      <i/>
      <sz val="8"/>
      <color rgb="FFFF0000"/>
      <name val="Arial"/>
      <family val="2"/>
    </font>
    <font>
      <b/>
      <sz val="14"/>
      <color theme="0"/>
      <name val="Arial"/>
      <family val="2"/>
    </font>
    <font>
      <b/>
      <sz val="2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DF3ED"/>
        <bgColor indexed="64"/>
      </patternFill>
    </fill>
    <fill>
      <patternFill patternType="solid">
        <fgColor rgb="FFF6F9F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EF4E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>
        <color rgb="FF72A376"/>
      </left>
      <right style="medium">
        <color rgb="FF72A376"/>
      </right>
      <top style="medium">
        <color rgb="FF72A376"/>
      </top>
      <bottom style="medium">
        <color rgb="FF72A376"/>
      </bottom>
    </border>
    <border>
      <left style="medium">
        <color rgb="FF72A376"/>
      </left>
      <right style="medium">
        <color rgb="FF72A376"/>
      </right>
      <top style="medium">
        <color rgb="FF72A376"/>
      </top>
      <bottom/>
    </border>
    <border>
      <left style="medium">
        <color rgb="FF72A376"/>
      </left>
      <right style="medium">
        <color rgb="FF72A376"/>
      </right>
      <top/>
      <bottom style="medium">
        <color rgb="FF72A376"/>
      </bottom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3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66" fontId="0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6" fontId="0" fillId="0" borderId="11" xfId="42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7" fontId="9" fillId="0" borderId="0" xfId="44" applyNumberFormat="1" applyFont="1" applyFill="1" applyBorder="1" applyAlignment="1" applyProtection="1">
      <alignment/>
      <protection locked="0"/>
    </xf>
    <xf numFmtId="10" fontId="9" fillId="0" borderId="0" xfId="59" applyNumberFormat="1" applyFont="1" applyFill="1" applyBorder="1" applyAlignment="1" applyProtection="1">
      <alignment/>
      <protection locked="0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6" fontId="2" fillId="0" borderId="0" xfId="42" applyNumberFormat="1" applyFont="1" applyFill="1" applyBorder="1" applyAlignment="1">
      <alignment/>
    </xf>
    <xf numFmtId="167" fontId="2" fillId="0" borderId="0" xfId="44" applyNumberFormat="1" applyFont="1" applyFill="1" applyBorder="1" applyAlignment="1">
      <alignment/>
    </xf>
    <xf numFmtId="10" fontId="0" fillId="0" borderId="0" xfId="59" applyNumberFormat="1" applyFont="1" applyFill="1" applyBorder="1" applyAlignment="1" applyProtection="1">
      <alignment/>
      <protection locked="0"/>
    </xf>
    <xf numFmtId="165" fontId="0" fillId="0" borderId="0" xfId="42" applyNumberFormat="1" applyFont="1" applyAlignment="1">
      <alignment/>
    </xf>
    <xf numFmtId="164" fontId="9" fillId="0" borderId="0" xfId="59" applyNumberFormat="1" applyFont="1" applyFill="1" applyBorder="1" applyAlignment="1" applyProtection="1">
      <alignment/>
      <protection locked="0"/>
    </xf>
    <xf numFmtId="166" fontId="13" fillId="0" borderId="12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166" fontId="14" fillId="0" borderId="0" xfId="42" applyNumberFormat="1" applyFont="1" applyFill="1" applyBorder="1" applyAlignment="1">
      <alignment/>
    </xf>
    <xf numFmtId="164" fontId="15" fillId="0" borderId="0" xfId="59" applyNumberFormat="1" applyFont="1" applyFill="1" applyBorder="1" applyAlignment="1">
      <alignment/>
    </xf>
    <xf numFmtId="166" fontId="0" fillId="0" borderId="13" xfId="42" applyNumberFormat="1" applyFont="1" applyFill="1" applyBorder="1" applyAlignment="1">
      <alignment/>
    </xf>
    <xf numFmtId="166" fontId="2" fillId="0" borderId="13" xfId="42" applyNumberFormat="1" applyFont="1" applyFill="1" applyBorder="1" applyAlignment="1">
      <alignment/>
    </xf>
    <xf numFmtId="166" fontId="0" fillId="0" borderId="10" xfId="42" applyNumberFormat="1" applyFont="1" applyFill="1" applyBorder="1" applyAlignment="1">
      <alignment/>
    </xf>
    <xf numFmtId="166" fontId="2" fillId="0" borderId="14" xfId="42" applyNumberFormat="1" applyFont="1" applyBorder="1" applyAlignment="1">
      <alignment horizontal="center"/>
    </xf>
    <xf numFmtId="167" fontId="7" fillId="0" borderId="0" xfId="44" applyNumberFormat="1" applyFont="1" applyFill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Alignment="1">
      <alignment/>
    </xf>
    <xf numFmtId="9" fontId="0" fillId="0" borderId="0" xfId="59" applyFont="1" applyAlignment="1">
      <alignment horizontal="left"/>
    </xf>
    <xf numFmtId="9" fontId="2" fillId="0" borderId="0" xfId="59" applyFont="1" applyAlignment="1">
      <alignment/>
    </xf>
    <xf numFmtId="9" fontId="0" fillId="0" borderId="10" xfId="59" applyFont="1" applyBorder="1" applyAlignment="1">
      <alignment/>
    </xf>
    <xf numFmtId="0" fontId="7" fillId="0" borderId="0" xfId="0" applyFont="1" applyBorder="1" applyAlignment="1">
      <alignment horizontal="center"/>
    </xf>
    <xf numFmtId="9" fontId="0" fillId="0" borderId="15" xfId="59" applyFont="1" applyBorder="1" applyAlignment="1">
      <alignment/>
    </xf>
    <xf numFmtId="167" fontId="2" fillId="0" borderId="0" xfId="44" applyNumberFormat="1" applyFont="1" applyFill="1" applyBorder="1" applyAlignment="1">
      <alignment horizontal="center"/>
    </xf>
    <xf numFmtId="10" fontId="13" fillId="7" borderId="11" xfId="59" applyNumberFormat="1" applyFont="1" applyFill="1" applyBorder="1" applyAlignment="1" applyProtection="1">
      <alignment/>
      <protection locked="0"/>
    </xf>
    <xf numFmtId="43" fontId="0" fillId="7" borderId="11" xfId="42" applyNumberFormat="1" applyFont="1" applyFill="1" applyBorder="1" applyAlignment="1" applyProtection="1">
      <alignment/>
      <protection locked="0"/>
    </xf>
    <xf numFmtId="165" fontId="0" fillId="7" borderId="11" xfId="42" applyNumberFormat="1" applyFont="1" applyFill="1" applyBorder="1" applyAlignment="1" applyProtection="1">
      <alignment/>
      <protection locked="0"/>
    </xf>
    <xf numFmtId="13" fontId="0" fillId="7" borderId="11" xfId="42" applyNumberFormat="1" applyFont="1" applyFill="1" applyBorder="1" applyAlignment="1" applyProtection="1">
      <alignment/>
      <protection locked="0"/>
    </xf>
    <xf numFmtId="167" fontId="0" fillId="7" borderId="11" xfId="44" applyNumberFormat="1" applyFont="1" applyFill="1" applyBorder="1" applyAlignment="1" applyProtection="1">
      <alignment/>
      <protection locked="0"/>
    </xf>
    <xf numFmtId="164" fontId="0" fillId="7" borderId="11" xfId="59" applyNumberFormat="1" applyFont="1" applyFill="1" applyBorder="1" applyAlignment="1" applyProtection="1">
      <alignment/>
      <protection locked="0"/>
    </xf>
    <xf numFmtId="167" fontId="13" fillId="7" borderId="11" xfId="44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9" fontId="0" fillId="0" borderId="0" xfId="0" applyNumberFormat="1" applyFont="1" applyBorder="1" applyAlignment="1">
      <alignment horizontal="right"/>
    </xf>
    <xf numFmtId="44" fontId="0" fillId="0" borderId="0" xfId="44" applyFont="1" applyAlignment="1">
      <alignment/>
    </xf>
    <xf numFmtId="9" fontId="0" fillId="0" borderId="0" xfId="59" applyFont="1" applyBorder="1" applyAlignment="1">
      <alignment horizontal="right"/>
    </xf>
    <xf numFmtId="0" fontId="0" fillId="0" borderId="0" xfId="0" applyFont="1" applyAlignment="1">
      <alignment horizontal="left" indent="1"/>
    </xf>
    <xf numFmtId="0" fontId="23" fillId="0" borderId="0" xfId="0" applyFont="1" applyAlignment="1">
      <alignment horizontal="left" indent="1"/>
    </xf>
    <xf numFmtId="0" fontId="4" fillId="0" borderId="0" xfId="0" applyFont="1" applyFill="1" applyBorder="1" applyAlignment="1">
      <alignment horizontal="center"/>
    </xf>
    <xf numFmtId="166" fontId="15" fillId="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7" fontId="0" fillId="0" borderId="0" xfId="44" applyNumberFormat="1" applyFont="1" applyFill="1" applyBorder="1" applyAlignment="1" applyProtection="1">
      <alignment/>
      <protection locked="0"/>
    </xf>
    <xf numFmtId="164" fontId="0" fillId="0" borderId="0" xfId="59" applyNumberFormat="1" applyFont="1" applyFill="1" applyBorder="1" applyAlignment="1" applyProtection="1">
      <alignment/>
      <protection locked="0"/>
    </xf>
    <xf numFmtId="167" fontId="13" fillId="0" borderId="0" xfId="44" applyNumberFormat="1" applyFont="1" applyFill="1" applyBorder="1" applyAlignment="1" applyProtection="1">
      <alignment/>
      <protection locked="0"/>
    </xf>
    <xf numFmtId="9" fontId="0" fillId="0" borderId="0" xfId="59" applyFont="1" applyFill="1" applyAlignment="1">
      <alignment/>
    </xf>
    <xf numFmtId="9" fontId="0" fillId="0" borderId="0" xfId="59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0" fillId="33" borderId="10" xfId="0" applyFont="1" applyFill="1" applyBorder="1" applyAlignment="1">
      <alignment horizontal="center"/>
    </xf>
    <xf numFmtId="166" fontId="81" fillId="0" borderId="0" xfId="42" applyNumberFormat="1" applyFont="1" applyFill="1" applyBorder="1" applyAlignment="1" applyProtection="1">
      <alignment/>
      <protection locked="0"/>
    </xf>
    <xf numFmtId="166" fontId="81" fillId="0" borderId="0" xfId="42" applyNumberFormat="1" applyFont="1" applyFill="1" applyBorder="1" applyAlignment="1">
      <alignment/>
    </xf>
    <xf numFmtId="166" fontId="82" fillId="0" borderId="0" xfId="42" applyNumberFormat="1" applyFont="1" applyFill="1" applyBorder="1" applyAlignment="1" applyProtection="1">
      <alignment/>
      <protection locked="0"/>
    </xf>
    <xf numFmtId="166" fontId="82" fillId="0" borderId="0" xfId="42" applyNumberFormat="1" applyFont="1" applyFill="1" applyBorder="1" applyAlignment="1">
      <alignment/>
    </xf>
    <xf numFmtId="166" fontId="81" fillId="0" borderId="10" xfId="42" applyNumberFormat="1" applyFont="1" applyFill="1" applyBorder="1" applyAlignment="1">
      <alignment/>
    </xf>
    <xf numFmtId="167" fontId="20" fillId="34" borderId="16" xfId="44" applyNumberFormat="1" applyFont="1" applyFill="1" applyBorder="1" applyAlignment="1">
      <alignment/>
    </xf>
    <xf numFmtId="167" fontId="24" fillId="34" borderId="16" xfId="44" applyNumberFormat="1" applyFont="1" applyFill="1" applyBorder="1" applyAlignment="1">
      <alignment/>
    </xf>
    <xf numFmtId="167" fontId="20" fillId="0" borderId="0" xfId="44" applyNumberFormat="1" applyFont="1" applyFill="1" applyBorder="1" applyAlignment="1">
      <alignment/>
    </xf>
    <xf numFmtId="9" fontId="24" fillId="0" borderId="0" xfId="59" applyFont="1" applyFill="1" applyBorder="1" applyAlignment="1">
      <alignment/>
    </xf>
    <xf numFmtId="167" fontId="20" fillId="0" borderId="0" xfId="44" applyNumberFormat="1" applyFont="1" applyFill="1" applyBorder="1" applyAlignment="1">
      <alignment horizontal="center"/>
    </xf>
    <xf numFmtId="167" fontId="20" fillId="34" borderId="17" xfId="44" applyNumberFormat="1" applyFont="1" applyFill="1" applyBorder="1" applyAlignment="1">
      <alignment/>
    </xf>
    <xf numFmtId="9" fontId="0" fillId="0" borderId="0" xfId="59" applyFont="1" applyBorder="1" applyAlignment="1">
      <alignment horizontal="right"/>
    </xf>
    <xf numFmtId="164" fontId="22" fillId="7" borderId="11" xfId="59" applyNumberFormat="1" applyFont="1" applyFill="1" applyBorder="1" applyAlignment="1">
      <alignment horizontal="right"/>
    </xf>
    <xf numFmtId="166" fontId="82" fillId="0" borderId="11" xfId="42" applyNumberFormat="1" applyFont="1" applyFill="1" applyBorder="1" applyAlignment="1">
      <alignment/>
    </xf>
    <xf numFmtId="164" fontId="0" fillId="4" borderId="11" xfId="59" applyNumberFormat="1" applyFont="1" applyFill="1" applyBorder="1" applyAlignment="1" applyProtection="1">
      <alignment/>
      <protection locked="0"/>
    </xf>
    <xf numFmtId="166" fontId="81" fillId="0" borderId="12" xfId="42" applyNumberFormat="1" applyFont="1" applyFill="1" applyBorder="1" applyAlignment="1">
      <alignment/>
    </xf>
    <xf numFmtId="164" fontId="81" fillId="0" borderId="0" xfId="59" applyNumberFormat="1" applyFont="1" applyFill="1" applyBorder="1" applyAlignment="1">
      <alignment/>
    </xf>
    <xf numFmtId="165" fontId="0" fillId="4" borderId="11" xfId="42" applyNumberFormat="1" applyFont="1" applyFill="1" applyBorder="1" applyAlignment="1" applyProtection="1">
      <alignment/>
      <protection locked="0"/>
    </xf>
    <xf numFmtId="166" fontId="0" fillId="4" borderId="11" xfId="42" applyNumberFormat="1" applyFont="1" applyFill="1" applyBorder="1" applyAlignment="1" applyProtection="1">
      <alignment/>
      <protection locked="0"/>
    </xf>
    <xf numFmtId="166" fontId="81" fillId="0" borderId="0" xfId="42" applyNumberFormat="1" applyFont="1" applyFill="1" applyBorder="1" applyAlignment="1">
      <alignment horizontal="right"/>
    </xf>
    <xf numFmtId="9" fontId="0" fillId="4" borderId="11" xfId="0" applyNumberFormat="1" applyFont="1" applyFill="1" applyBorder="1" applyAlignment="1">
      <alignment horizontal="right"/>
    </xf>
    <xf numFmtId="10" fontId="0" fillId="4" borderId="11" xfId="59" applyNumberFormat="1" applyFont="1" applyFill="1" applyBorder="1" applyAlignment="1" applyProtection="1">
      <alignment/>
      <protection locked="0"/>
    </xf>
    <xf numFmtId="166" fontId="0" fillId="4" borderId="11" xfId="42" applyNumberFormat="1" applyFont="1" applyFill="1" applyBorder="1" applyAlignment="1" applyProtection="1">
      <alignment horizontal="right"/>
      <protection locked="0"/>
    </xf>
    <xf numFmtId="167" fontId="0" fillId="4" borderId="11" xfId="44" applyNumberFormat="1" applyFont="1" applyFill="1" applyBorder="1" applyAlignment="1" applyProtection="1">
      <alignment/>
      <protection locked="0"/>
    </xf>
    <xf numFmtId="167" fontId="81" fillId="4" borderId="0" xfId="44" applyNumberFormat="1" applyFont="1" applyFill="1" applyBorder="1" applyAlignment="1" applyProtection="1">
      <alignment/>
      <protection locked="0"/>
    </xf>
    <xf numFmtId="166" fontId="81" fillId="4" borderId="0" xfId="42" applyNumberFormat="1" applyFont="1" applyFill="1" applyBorder="1" applyAlignment="1" applyProtection="1">
      <alignment/>
      <protection locked="0"/>
    </xf>
    <xf numFmtId="166" fontId="2" fillId="0" borderId="10" xfId="42" applyNumberFormat="1" applyFont="1" applyFill="1" applyBorder="1" applyAlignment="1">
      <alignment/>
    </xf>
    <xf numFmtId="167" fontId="7" fillId="35" borderId="16" xfId="44" applyNumberFormat="1" applyFont="1" applyFill="1" applyBorder="1" applyAlignment="1">
      <alignment/>
    </xf>
    <xf numFmtId="10" fontId="82" fillId="0" borderId="0" xfId="59" applyNumberFormat="1" applyFont="1" applyFill="1" applyBorder="1" applyAlignment="1">
      <alignment/>
    </xf>
    <xf numFmtId="10" fontId="82" fillId="0" borderId="11" xfId="59" applyNumberFormat="1" applyFont="1" applyFill="1" applyBorder="1" applyAlignment="1">
      <alignment/>
    </xf>
    <xf numFmtId="0" fontId="82" fillId="0" borderId="0" xfId="0" applyFont="1" applyFill="1" applyAlignment="1">
      <alignment/>
    </xf>
    <xf numFmtId="166" fontId="82" fillId="0" borderId="12" xfId="42" applyNumberFormat="1" applyFont="1" applyFill="1" applyBorder="1" applyAlignment="1">
      <alignment/>
    </xf>
    <xf numFmtId="43" fontId="82" fillId="0" borderId="11" xfId="42" applyNumberFormat="1" applyFont="1" applyFill="1" applyBorder="1" applyAlignment="1">
      <alignment/>
    </xf>
    <xf numFmtId="165" fontId="82" fillId="0" borderId="11" xfId="42" applyNumberFormat="1" applyFont="1" applyFill="1" applyBorder="1" applyAlignment="1">
      <alignment/>
    </xf>
    <xf numFmtId="165" fontId="82" fillId="0" borderId="0" xfId="42" applyNumberFormat="1" applyFont="1" applyFill="1" applyAlignment="1">
      <alignment/>
    </xf>
    <xf numFmtId="167" fontId="82" fillId="0" borderId="11" xfId="44" applyNumberFormat="1" applyFont="1" applyFill="1" applyBorder="1" applyAlignment="1">
      <alignment/>
    </xf>
    <xf numFmtId="164" fontId="82" fillId="0" borderId="11" xfId="59" applyNumberFormat="1" applyFont="1" applyFill="1" applyBorder="1" applyAlignment="1">
      <alignment/>
    </xf>
    <xf numFmtId="166" fontId="82" fillId="0" borderId="13" xfId="42" applyNumberFormat="1" applyFont="1" applyFill="1" applyBorder="1" applyAlignment="1">
      <alignment/>
    </xf>
    <xf numFmtId="166" fontId="81" fillId="0" borderId="13" xfId="42" applyNumberFormat="1" applyFont="1" applyFill="1" applyBorder="1" applyAlignment="1">
      <alignment/>
    </xf>
    <xf numFmtId="164" fontId="81" fillId="0" borderId="0" xfId="59" applyNumberFormat="1" applyFont="1" applyFill="1" applyBorder="1" applyAlignment="1" applyProtection="1">
      <alignment/>
      <protection locked="0"/>
    </xf>
    <xf numFmtId="166" fontId="81" fillId="0" borderId="0" xfId="42" applyNumberFormat="1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44" fontId="0" fillId="36" borderId="0" xfId="44" applyFont="1" applyFill="1" applyAlignment="1">
      <alignment/>
    </xf>
    <xf numFmtId="0" fontId="2" fillId="36" borderId="0" xfId="0" applyFont="1" applyFill="1" applyAlignment="1">
      <alignment horizontal="center"/>
    </xf>
    <xf numFmtId="168" fontId="0" fillId="36" borderId="0" xfId="0" applyNumberFormat="1" applyFill="1" applyAlignment="1">
      <alignment/>
    </xf>
    <xf numFmtId="166" fontId="2" fillId="37" borderId="11" xfId="42" applyNumberFormat="1" applyFont="1" applyFill="1" applyBorder="1" applyAlignment="1">
      <alignment/>
    </xf>
    <xf numFmtId="10" fontId="2" fillId="37" borderId="11" xfId="59" applyNumberFormat="1" applyFont="1" applyFill="1" applyBorder="1" applyAlignment="1">
      <alignment/>
    </xf>
    <xf numFmtId="0" fontId="2" fillId="37" borderId="0" xfId="0" applyFont="1" applyFill="1" applyAlignment="1">
      <alignment/>
    </xf>
    <xf numFmtId="10" fontId="2" fillId="37" borderId="0" xfId="59" applyNumberFormat="1" applyFont="1" applyFill="1" applyBorder="1" applyAlignment="1">
      <alignment/>
    </xf>
    <xf numFmtId="166" fontId="2" fillId="37" borderId="12" xfId="42" applyNumberFormat="1" applyFont="1" applyFill="1" applyBorder="1" applyAlignment="1">
      <alignment/>
    </xf>
    <xf numFmtId="43" fontId="2" fillId="37" borderId="11" xfId="42" applyNumberFormat="1" applyFont="1" applyFill="1" applyBorder="1" applyAlignment="1">
      <alignment/>
    </xf>
    <xf numFmtId="165" fontId="2" fillId="37" borderId="11" xfId="42" applyNumberFormat="1" applyFont="1" applyFill="1" applyBorder="1" applyAlignment="1">
      <alignment/>
    </xf>
    <xf numFmtId="165" fontId="2" fillId="37" borderId="0" xfId="42" applyNumberFormat="1" applyFont="1" applyFill="1" applyAlignment="1">
      <alignment/>
    </xf>
    <xf numFmtId="167" fontId="2" fillId="37" borderId="11" xfId="44" applyNumberFormat="1" applyFont="1" applyFill="1" applyBorder="1" applyAlignment="1">
      <alignment/>
    </xf>
    <xf numFmtId="164" fontId="2" fillId="37" borderId="11" xfId="59" applyNumberFormat="1" applyFont="1" applyFill="1" applyBorder="1" applyAlignment="1">
      <alignment/>
    </xf>
    <xf numFmtId="166" fontId="0" fillId="37" borderId="12" xfId="42" applyNumberFormat="1" applyFont="1" applyFill="1" applyBorder="1" applyAlignment="1">
      <alignment/>
    </xf>
    <xf numFmtId="167" fontId="0" fillId="37" borderId="0" xfId="44" applyNumberFormat="1" applyFont="1" applyFill="1" applyBorder="1" applyAlignment="1" applyProtection="1">
      <alignment/>
      <protection locked="0"/>
    </xf>
    <xf numFmtId="166" fontId="0" fillId="37" borderId="0" xfId="42" applyNumberFormat="1" applyFont="1" applyFill="1" applyBorder="1" applyAlignment="1">
      <alignment/>
    </xf>
    <xf numFmtId="167" fontId="2" fillId="37" borderId="0" xfId="44" applyNumberFormat="1" applyFont="1" applyFill="1" applyBorder="1" applyAlignment="1" applyProtection="1">
      <alignment/>
      <protection locked="0"/>
    </xf>
    <xf numFmtId="166" fontId="0" fillId="37" borderId="0" xfId="42" applyNumberFormat="1" applyFont="1" applyFill="1" applyBorder="1" applyAlignment="1" applyProtection="1">
      <alignment/>
      <protection locked="0"/>
    </xf>
    <xf numFmtId="166" fontId="2" fillId="37" borderId="0" xfId="42" applyNumberFormat="1" applyFont="1" applyFill="1" applyBorder="1" applyAlignment="1" applyProtection="1">
      <alignment/>
      <protection locked="0"/>
    </xf>
    <xf numFmtId="166" fontId="0" fillId="37" borderId="10" xfId="42" applyNumberFormat="1" applyFont="1" applyFill="1" applyBorder="1" applyAlignment="1">
      <alignment/>
    </xf>
    <xf numFmtId="166" fontId="2" fillId="37" borderId="0" xfId="42" applyNumberFormat="1" applyFont="1" applyFill="1" applyBorder="1" applyAlignment="1">
      <alignment/>
    </xf>
    <xf numFmtId="167" fontId="7" fillId="34" borderId="16" xfId="44" applyNumberFormat="1" applyFont="1" applyFill="1" applyBorder="1" applyAlignment="1">
      <alignment/>
    </xf>
    <xf numFmtId="166" fontId="0" fillId="37" borderId="0" xfId="42" applyNumberFormat="1" applyFont="1" applyFill="1" applyAlignment="1">
      <alignment/>
    </xf>
    <xf numFmtId="43" fontId="0" fillId="4" borderId="11" xfId="42" applyNumberFormat="1" applyFont="1" applyFill="1" applyBorder="1" applyAlignment="1" applyProtection="1">
      <alignment horizontal="right"/>
      <protection locked="0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centerContinuous"/>
    </xf>
    <xf numFmtId="0" fontId="0" fillId="36" borderId="0" xfId="0" applyFont="1" applyFill="1" applyAlignment="1">
      <alignment horizontal="center"/>
    </xf>
    <xf numFmtId="165" fontId="0" fillId="7" borderId="11" xfId="42" applyNumberFormat="1" applyFont="1" applyFill="1" applyBorder="1" applyAlignment="1" applyProtection="1">
      <alignment/>
      <protection locked="0"/>
    </xf>
    <xf numFmtId="43" fontId="0" fillId="7" borderId="11" xfId="42" applyNumberFormat="1" applyFont="1" applyFill="1" applyBorder="1" applyAlignment="1" applyProtection="1">
      <alignment/>
      <protection locked="0"/>
    </xf>
    <xf numFmtId="43" fontId="2" fillId="37" borderId="11" xfId="42" applyFont="1" applyFill="1" applyBorder="1" applyAlignment="1">
      <alignment/>
    </xf>
    <xf numFmtId="43" fontId="0" fillId="4" borderId="11" xfId="42" applyFont="1" applyFill="1" applyBorder="1" applyAlignment="1" applyProtection="1">
      <alignment/>
      <protection locked="0"/>
    </xf>
    <xf numFmtId="167" fontId="25" fillId="7" borderId="11" xfId="44" applyNumberFormat="1" applyFont="1" applyFill="1" applyBorder="1" applyAlignment="1" applyProtection="1">
      <alignment/>
      <protection locked="0"/>
    </xf>
    <xf numFmtId="9" fontId="25" fillId="7" borderId="11" xfId="59" applyFont="1" applyFill="1" applyBorder="1" applyAlignment="1" applyProtection="1">
      <alignment/>
      <protection locked="0"/>
    </xf>
    <xf numFmtId="166" fontId="0" fillId="0" borderId="0" xfId="0" applyNumberFormat="1" applyAlignment="1">
      <alignment/>
    </xf>
    <xf numFmtId="9" fontId="25" fillId="7" borderId="18" xfId="59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9" fontId="0" fillId="0" borderId="0" xfId="59" applyFont="1" applyBorder="1" applyAlignment="1">
      <alignment/>
    </xf>
    <xf numFmtId="9" fontId="2" fillId="0" borderId="0" xfId="59" applyFont="1" applyBorder="1" applyAlignment="1">
      <alignment/>
    </xf>
    <xf numFmtId="166" fontId="82" fillId="0" borderId="11" xfId="42" applyNumberFormat="1" applyFont="1" applyFill="1" applyBorder="1" applyAlignment="1">
      <alignment/>
    </xf>
    <xf numFmtId="166" fontId="2" fillId="0" borderId="19" xfId="42" applyNumberFormat="1" applyFont="1" applyFill="1" applyBorder="1" applyAlignment="1">
      <alignment/>
    </xf>
    <xf numFmtId="0" fontId="0" fillId="36" borderId="14" xfId="0" applyFill="1" applyBorder="1" applyAlignment="1">
      <alignment/>
    </xf>
    <xf numFmtId="166" fontId="83" fillId="38" borderId="11" xfId="42" applyNumberFormat="1" applyFont="1" applyFill="1" applyBorder="1" applyAlignment="1">
      <alignment horizontal="right"/>
    </xf>
    <xf numFmtId="43" fontId="0" fillId="0" borderId="0" xfId="0" applyNumberFormat="1" applyAlignment="1">
      <alignment/>
    </xf>
    <xf numFmtId="0" fontId="26" fillId="0" borderId="0" xfId="0" applyFont="1" applyAlignment="1">
      <alignment/>
    </xf>
    <xf numFmtId="10" fontId="8" fillId="7" borderId="11" xfId="59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9" fontId="8" fillId="0" borderId="0" xfId="59" applyFont="1" applyAlignment="1">
      <alignment/>
    </xf>
    <xf numFmtId="167" fontId="23" fillId="0" borderId="0" xfId="44" applyNumberFormat="1" applyFont="1" applyBorder="1" applyAlignment="1">
      <alignment horizontal="right"/>
    </xf>
    <xf numFmtId="167" fontId="83" fillId="38" borderId="11" xfId="44" applyNumberFormat="1" applyFont="1" applyFill="1" applyBorder="1" applyAlignment="1">
      <alignment horizontal="right"/>
    </xf>
    <xf numFmtId="167" fontId="23" fillId="0" borderId="0" xfId="44" applyNumberFormat="1" applyFont="1" applyBorder="1" applyAlignment="1">
      <alignment horizontal="center"/>
    </xf>
    <xf numFmtId="167" fontId="0" fillId="0" borderId="0" xfId="59" applyNumberFormat="1" applyFont="1" applyAlignment="1">
      <alignment/>
    </xf>
    <xf numFmtId="0" fontId="25" fillId="0" borderId="0" xfId="0" applyFont="1" applyAlignment="1">
      <alignment horizontal="left" indent="1"/>
    </xf>
    <xf numFmtId="0" fontId="25" fillId="4" borderId="11" xfId="0" applyFont="1" applyFill="1" applyBorder="1" applyAlignment="1">
      <alignment horizontal="right"/>
    </xf>
    <xf numFmtId="0" fontId="25" fillId="0" borderId="0" xfId="0" applyFont="1" applyBorder="1" applyAlignment="1">
      <alignment horizontal="right"/>
    </xf>
    <xf numFmtId="9" fontId="25" fillId="0" borderId="0" xfId="59" applyFont="1" applyAlignment="1">
      <alignment/>
    </xf>
    <xf numFmtId="0" fontId="25" fillId="0" borderId="0" xfId="0" applyFont="1" applyAlignment="1">
      <alignment/>
    </xf>
    <xf numFmtId="43" fontId="25" fillId="0" borderId="11" xfId="42" applyFont="1" applyFill="1" applyBorder="1" applyAlignment="1">
      <alignment horizontal="right"/>
    </xf>
    <xf numFmtId="10" fontId="20" fillId="0" borderId="0" xfId="59" applyNumberFormat="1" applyFont="1" applyBorder="1" applyAlignment="1">
      <alignment horizontal="right"/>
    </xf>
    <xf numFmtId="0" fontId="20" fillId="0" borderId="0" xfId="0" applyFont="1" applyAlignment="1">
      <alignment/>
    </xf>
    <xf numFmtId="43" fontId="25" fillId="0" borderId="0" xfId="42" applyFont="1" applyAlignment="1">
      <alignment/>
    </xf>
    <xf numFmtId="43" fontId="25" fillId="0" borderId="0" xfId="42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84" fillId="33" borderId="10" xfId="0" applyFont="1" applyFill="1" applyBorder="1" applyAlignment="1">
      <alignment horizontal="center"/>
    </xf>
    <xf numFmtId="9" fontId="25" fillId="0" borderId="0" xfId="59" applyFont="1" applyBorder="1" applyAlignment="1">
      <alignment horizontal="right"/>
    </xf>
    <xf numFmtId="167" fontId="18" fillId="39" borderId="16" xfId="44" applyNumberFormat="1" applyFont="1" applyFill="1" applyBorder="1" applyAlignment="1">
      <alignment/>
    </xf>
    <xf numFmtId="9" fontId="18" fillId="40" borderId="0" xfId="59" applyFont="1" applyFill="1" applyBorder="1" applyAlignment="1">
      <alignment/>
    </xf>
    <xf numFmtId="43" fontId="25" fillId="32" borderId="11" xfId="42" applyFont="1" applyFill="1" applyBorder="1" applyAlignment="1">
      <alignment horizontal="right"/>
    </xf>
    <xf numFmtId="166" fontId="25" fillId="32" borderId="11" xfId="42" applyNumberFormat="1" applyFont="1" applyFill="1" applyBorder="1" applyAlignment="1">
      <alignment horizontal="right"/>
    </xf>
    <xf numFmtId="10" fontId="0" fillId="7" borderId="11" xfId="59" applyNumberFormat="1" applyFont="1" applyFill="1" applyBorder="1" applyAlignment="1" applyProtection="1">
      <alignment/>
      <protection locked="0"/>
    </xf>
    <xf numFmtId="10" fontId="85" fillId="7" borderId="11" xfId="59" applyNumberFormat="1" applyFont="1" applyFill="1" applyBorder="1" applyAlignment="1" applyProtection="1">
      <alignment/>
      <protection locked="0"/>
    </xf>
    <xf numFmtId="166" fontId="85" fillId="7" borderId="11" xfId="42" applyNumberFormat="1" applyFont="1" applyFill="1" applyBorder="1" applyAlignment="1" applyProtection="1">
      <alignment/>
      <protection locked="0"/>
    </xf>
    <xf numFmtId="1" fontId="25" fillId="4" borderId="11" xfId="0" applyNumberFormat="1" applyFont="1" applyFill="1" applyBorder="1" applyAlignment="1">
      <alignment horizontal="right"/>
    </xf>
    <xf numFmtId="169" fontId="25" fillId="4" borderId="11" xfId="0" applyNumberFormat="1" applyFont="1" applyFill="1" applyBorder="1" applyAlignment="1">
      <alignment horizontal="right"/>
    </xf>
    <xf numFmtId="2" fontId="25" fillId="4" borderId="11" xfId="0" applyNumberFormat="1" applyFont="1" applyFill="1" applyBorder="1" applyAlignment="1">
      <alignment horizontal="right"/>
    </xf>
    <xf numFmtId="169" fontId="25" fillId="0" borderId="0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10" fontId="20" fillId="4" borderId="11" xfId="59" applyNumberFormat="1" applyFont="1" applyFill="1" applyBorder="1" applyAlignment="1">
      <alignment horizontal="right"/>
    </xf>
    <xf numFmtId="164" fontId="25" fillId="0" borderId="0" xfId="59" applyNumberFormat="1" applyFont="1" applyBorder="1" applyAlignment="1">
      <alignment horizontal="right"/>
    </xf>
    <xf numFmtId="10" fontId="25" fillId="0" borderId="0" xfId="59" applyNumberFormat="1" applyFont="1" applyBorder="1" applyAlignment="1">
      <alignment horizontal="right"/>
    </xf>
    <xf numFmtId="0" fontId="20" fillId="32" borderId="11" xfId="0" applyFont="1" applyFill="1" applyBorder="1" applyAlignment="1">
      <alignment horizontal="center"/>
    </xf>
    <xf numFmtId="44" fontId="0" fillId="0" borderId="0" xfId="44" applyFont="1" applyBorder="1" applyAlignment="1">
      <alignment/>
    </xf>
    <xf numFmtId="44" fontId="25" fillId="0" borderId="0" xfId="44" applyFont="1" applyBorder="1" applyAlignment="1">
      <alignment horizontal="right"/>
    </xf>
    <xf numFmtId="0" fontId="63" fillId="0" borderId="0" xfId="56">
      <alignment/>
      <protection/>
    </xf>
    <xf numFmtId="0" fontId="63" fillId="0" borderId="11" xfId="56" applyFont="1" applyBorder="1">
      <alignment/>
      <protection/>
    </xf>
    <xf numFmtId="0" fontId="78" fillId="0" borderId="20" xfId="56" applyFont="1" applyFill="1" applyBorder="1">
      <alignment/>
      <protection/>
    </xf>
    <xf numFmtId="167" fontId="0" fillId="0" borderId="11" xfId="46" applyNumberFormat="1" applyFont="1" applyBorder="1" applyAlignment="1">
      <alignment/>
    </xf>
    <xf numFmtId="44" fontId="0" fillId="0" borderId="0" xfId="46" applyFont="1" applyBorder="1" applyAlignment="1">
      <alignment/>
    </xf>
    <xf numFmtId="10" fontId="0" fillId="0" borderId="0" xfId="60" applyNumberFormat="1" applyFont="1" applyAlignment="1">
      <alignment/>
    </xf>
    <xf numFmtId="167" fontId="86" fillId="0" borderId="11" xfId="46" applyNumberFormat="1" applyFont="1" applyBorder="1" applyAlignment="1">
      <alignment vertical="center" wrapText="1"/>
    </xf>
    <xf numFmtId="167" fontId="63" fillId="0" borderId="0" xfId="56" applyNumberFormat="1">
      <alignment/>
      <protection/>
    </xf>
    <xf numFmtId="44" fontId="78" fillId="0" borderId="0" xfId="46" applyFont="1" applyFill="1" applyBorder="1" applyAlignment="1">
      <alignment/>
    </xf>
    <xf numFmtId="0" fontId="63" fillId="0" borderId="0" xfId="56" applyFont="1" applyBorder="1">
      <alignment/>
      <protection/>
    </xf>
    <xf numFmtId="43" fontId="25" fillId="0" borderId="14" xfId="42" applyNumberFormat="1" applyFont="1" applyBorder="1" applyAlignment="1">
      <alignment horizontal="right"/>
    </xf>
    <xf numFmtId="43" fontId="63" fillId="0" borderId="11" xfId="42" applyFont="1" applyBorder="1" applyAlignment="1">
      <alignment/>
    </xf>
    <xf numFmtId="43" fontId="86" fillId="0" borderId="11" xfId="42" applyFont="1" applyBorder="1" applyAlignment="1">
      <alignment vertical="center" wrapText="1"/>
    </xf>
    <xf numFmtId="43" fontId="63" fillId="0" borderId="0" xfId="42" applyFont="1" applyAlignment="1">
      <alignment/>
    </xf>
    <xf numFmtId="9" fontId="87" fillId="0" borderId="0" xfId="59" applyFont="1" applyAlignment="1" quotePrefix="1">
      <alignment/>
    </xf>
    <xf numFmtId="2" fontId="25" fillId="0" borderId="14" xfId="0" applyNumberFormat="1" applyFont="1" applyBorder="1" applyAlignment="1">
      <alignment horizontal="right"/>
    </xf>
    <xf numFmtId="169" fontId="25" fillId="34" borderId="0" xfId="0" applyNumberFormat="1" applyFont="1" applyFill="1" applyAlignment="1">
      <alignment/>
    </xf>
    <xf numFmtId="170" fontId="25" fillId="32" borderId="11" xfId="42" applyNumberFormat="1" applyFont="1" applyFill="1" applyBorder="1" applyAlignment="1">
      <alignment horizontal="right"/>
    </xf>
    <xf numFmtId="10" fontId="20" fillId="32" borderId="11" xfId="0" applyNumberFormat="1" applyFont="1" applyFill="1" applyBorder="1" applyAlignment="1">
      <alignment horizontal="center"/>
    </xf>
    <xf numFmtId="0" fontId="88" fillId="38" borderId="0" xfId="0" applyFont="1" applyFill="1" applyBorder="1" applyAlignment="1">
      <alignment horizontal="right"/>
    </xf>
    <xf numFmtId="164" fontId="29" fillId="38" borderId="0" xfId="0" applyNumberFormat="1" applyFont="1" applyFill="1" applyBorder="1" applyAlignment="1">
      <alignment horizontal="right"/>
    </xf>
    <xf numFmtId="10" fontId="29" fillId="38" borderId="0" xfId="0" applyNumberFormat="1" applyFont="1" applyFill="1" applyBorder="1" applyAlignment="1">
      <alignment horizontal="right"/>
    </xf>
    <xf numFmtId="2" fontId="12" fillId="0" borderId="0" xfId="59" applyNumberFormat="1" applyFont="1" applyAlignment="1">
      <alignment horizontal="center"/>
    </xf>
    <xf numFmtId="2" fontId="25" fillId="0" borderId="0" xfId="0" applyNumberFormat="1" applyFont="1" applyAlignment="1">
      <alignment/>
    </xf>
    <xf numFmtId="44" fontId="30" fillId="0" borderId="0" xfId="44" applyFont="1" applyAlignment="1">
      <alignment/>
    </xf>
    <xf numFmtId="44" fontId="12" fillId="0" borderId="0" xfId="44" applyFont="1" applyAlignment="1">
      <alignment/>
    </xf>
    <xf numFmtId="0" fontId="31" fillId="0" borderId="0" xfId="0" applyFont="1" applyAlignment="1">
      <alignment horizontal="left"/>
    </xf>
    <xf numFmtId="9" fontId="31" fillId="0" borderId="0" xfId="59" applyFont="1" applyAlignment="1">
      <alignment horizontal="center"/>
    </xf>
    <xf numFmtId="0" fontId="0" fillId="0" borderId="0" xfId="0" applyFont="1" applyAlignment="1">
      <alignment/>
    </xf>
    <xf numFmtId="10" fontId="25" fillId="0" borderId="11" xfId="59" applyNumberFormat="1" applyFont="1" applyFill="1" applyBorder="1" applyAlignment="1" applyProtection="1">
      <alignment horizontal="center"/>
      <protection locked="0"/>
    </xf>
    <xf numFmtId="167" fontId="83" fillId="0" borderId="11" xfId="44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44" fontId="63" fillId="0" borderId="11" xfId="44" applyFont="1" applyBorder="1" applyAlignment="1">
      <alignment/>
    </xf>
    <xf numFmtId="44" fontId="63" fillId="0" borderId="20" xfId="44" applyFont="1" applyFill="1" applyBorder="1" applyAlignment="1">
      <alignment/>
    </xf>
    <xf numFmtId="10" fontId="63" fillId="0" borderId="14" xfId="56" applyNumberFormat="1" applyBorder="1">
      <alignment/>
      <protection/>
    </xf>
    <xf numFmtId="43" fontId="63" fillId="0" borderId="0" xfId="56" applyNumberFormat="1">
      <alignment/>
      <protection/>
    </xf>
    <xf numFmtId="2" fontId="25" fillId="4" borderId="11" xfId="42" applyNumberFormat="1" applyFont="1" applyFill="1" applyBorder="1" applyAlignment="1">
      <alignment horizontal="right"/>
    </xf>
    <xf numFmtId="0" fontId="0" fillId="32" borderId="11" xfId="0" applyFill="1" applyBorder="1" applyAlignment="1">
      <alignment horizontal="right"/>
    </xf>
    <xf numFmtId="43" fontId="0" fillId="32" borderId="11" xfId="0" applyNumberForma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78" fillId="0" borderId="0" xfId="56" applyFont="1">
      <alignment/>
      <protection/>
    </xf>
    <xf numFmtId="17" fontId="78" fillId="0" borderId="0" xfId="56" applyNumberFormat="1" applyFont="1">
      <alignment/>
      <protection/>
    </xf>
    <xf numFmtId="43" fontId="25" fillId="32" borderId="11" xfId="42" applyNumberFormat="1" applyFont="1" applyFill="1" applyBorder="1" applyAlignment="1">
      <alignment horizontal="right"/>
    </xf>
    <xf numFmtId="44" fontId="63" fillId="0" borderId="11" xfId="44" applyFont="1" applyFill="1" applyBorder="1" applyAlignment="1">
      <alignment/>
    </xf>
    <xf numFmtId="0" fontId="63" fillId="0" borderId="11" xfId="56" applyFont="1" applyFill="1" applyBorder="1">
      <alignment/>
      <protection/>
    </xf>
    <xf numFmtId="44" fontId="0" fillId="0" borderId="0" xfId="46" applyFont="1" applyFill="1" applyBorder="1" applyAlignment="1">
      <alignment/>
    </xf>
    <xf numFmtId="2" fontId="25" fillId="0" borderId="0" xfId="0" applyNumberFormat="1" applyFont="1" applyBorder="1" applyAlignment="1">
      <alignment horizontal="right"/>
    </xf>
    <xf numFmtId="10" fontId="23" fillId="32" borderId="11" xfId="0" applyNumberFormat="1" applyFont="1" applyFill="1" applyBorder="1" applyAlignment="1">
      <alignment horizontal="center"/>
    </xf>
    <xf numFmtId="10" fontId="23" fillId="32" borderId="11" xfId="59" applyNumberFormat="1" applyFont="1" applyFill="1" applyBorder="1" applyAlignment="1">
      <alignment horizontal="center"/>
    </xf>
    <xf numFmtId="10" fontId="19" fillId="32" borderId="11" xfId="0" applyNumberFormat="1" applyFont="1" applyFill="1" applyBorder="1" applyAlignment="1">
      <alignment horizontal="center"/>
    </xf>
    <xf numFmtId="0" fontId="25" fillId="41" borderId="21" xfId="0" applyFont="1" applyFill="1" applyBorder="1" applyAlignment="1">
      <alignment vertical="top" wrapText="1"/>
    </xf>
    <xf numFmtId="0" fontId="89" fillId="41" borderId="21" xfId="0" applyFont="1" applyFill="1" applyBorder="1" applyAlignment="1">
      <alignment horizontal="center" vertical="center" wrapText="1" readingOrder="1"/>
    </xf>
    <xf numFmtId="0" fontId="89" fillId="42" borderId="21" xfId="0" applyFont="1" applyFill="1" applyBorder="1" applyAlignment="1">
      <alignment horizontal="left" vertical="center" wrapText="1" readingOrder="1"/>
    </xf>
    <xf numFmtId="0" fontId="89" fillId="41" borderId="21" xfId="0" applyFont="1" applyFill="1" applyBorder="1" applyAlignment="1">
      <alignment horizontal="left" vertical="center" wrapText="1" readingOrder="1"/>
    </xf>
    <xf numFmtId="0" fontId="90" fillId="42" borderId="22" xfId="0" applyFont="1" applyFill="1" applyBorder="1" applyAlignment="1">
      <alignment horizontal="left" vertical="center" wrapText="1" indent="1" readingOrder="1"/>
    </xf>
    <xf numFmtId="0" fontId="90" fillId="42" borderId="23" xfId="0" applyFont="1" applyFill="1" applyBorder="1" applyAlignment="1">
      <alignment horizontal="left" vertical="center" wrapText="1" indent="1" readingOrder="1"/>
    </xf>
    <xf numFmtId="0" fontId="89" fillId="41" borderId="22" xfId="0" applyFont="1" applyFill="1" applyBorder="1" applyAlignment="1">
      <alignment horizontal="left" vertical="center" wrapText="1" readingOrder="1"/>
    </xf>
    <xf numFmtId="0" fontId="89" fillId="41" borderId="23" xfId="0" applyFont="1" applyFill="1" applyBorder="1" applyAlignment="1">
      <alignment horizontal="left" vertical="center" wrapText="1" readingOrder="1"/>
    </xf>
    <xf numFmtId="43" fontId="90" fillId="41" borderId="23" xfId="42" applyFont="1" applyFill="1" applyBorder="1" applyAlignment="1">
      <alignment horizontal="right" vertical="center" wrapText="1" readingOrder="1"/>
    </xf>
    <xf numFmtId="44" fontId="90" fillId="41" borderId="23" xfId="44" applyFont="1" applyFill="1" applyBorder="1" applyAlignment="1">
      <alignment horizontal="right" vertical="center" wrapText="1" readingOrder="1"/>
    </xf>
    <xf numFmtId="9" fontId="89" fillId="41" borderId="23" xfId="59" applyFont="1" applyFill="1" applyBorder="1" applyAlignment="1">
      <alignment horizontal="right" vertical="center" wrapText="1" readingOrder="1"/>
    </xf>
    <xf numFmtId="44" fontId="91" fillId="41" borderId="21" xfId="44" applyFont="1" applyFill="1" applyBorder="1" applyAlignment="1">
      <alignment horizontal="right" vertical="center" wrapText="1" readingOrder="1"/>
    </xf>
    <xf numFmtId="44" fontId="91" fillId="42" borderId="21" xfId="44" applyFont="1" applyFill="1" applyBorder="1" applyAlignment="1">
      <alignment horizontal="right" vertical="center" wrapText="1" readingOrder="1"/>
    </xf>
    <xf numFmtId="44" fontId="91" fillId="41" borderId="21" xfId="44" applyFont="1" applyFill="1" applyBorder="1" applyAlignment="1">
      <alignment vertical="top" wrapText="1"/>
    </xf>
    <xf numFmtId="44" fontId="91" fillId="42" borderId="21" xfId="44" applyFont="1" applyFill="1" applyBorder="1" applyAlignment="1">
      <alignment horizontal="left" vertical="center" wrapText="1" readingOrder="1"/>
    </xf>
    <xf numFmtId="43" fontId="25" fillId="42" borderId="21" xfId="42" applyFont="1" applyFill="1" applyBorder="1" applyAlignment="1">
      <alignment vertical="top" wrapText="1"/>
    </xf>
    <xf numFmtId="43" fontId="25" fillId="0" borderId="21" xfId="42" applyFont="1" applyBorder="1" applyAlignment="1">
      <alignment vertical="top" wrapText="1"/>
    </xf>
    <xf numFmtId="44" fontId="91" fillId="43" borderId="21" xfId="44" applyFont="1" applyFill="1" applyBorder="1" applyAlignment="1">
      <alignment vertical="top" wrapText="1"/>
    </xf>
    <xf numFmtId="44" fontId="91" fillId="42" borderId="21" xfId="44" applyNumberFormat="1" applyFont="1" applyFill="1" applyBorder="1" applyAlignment="1">
      <alignment horizontal="center" vertical="center" wrapText="1" readingOrder="1"/>
    </xf>
    <xf numFmtId="9" fontId="23" fillId="32" borderId="11" xfId="59" applyFont="1" applyFill="1" applyBorder="1" applyAlignment="1">
      <alignment horizontal="center"/>
    </xf>
    <xf numFmtId="0" fontId="25" fillId="0" borderId="0" xfId="0" applyFont="1" applyAlignment="1" quotePrefix="1">
      <alignment/>
    </xf>
    <xf numFmtId="44" fontId="25" fillId="0" borderId="11" xfId="44" applyFont="1" applyBorder="1" applyAlignment="1">
      <alignment/>
    </xf>
    <xf numFmtId="43" fontId="25" fillId="0" borderId="0" xfId="0" applyNumberFormat="1" applyFont="1" applyAlignment="1">
      <alignment/>
    </xf>
    <xf numFmtId="44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64" fontId="23" fillId="32" borderId="11" xfId="59" applyNumberFormat="1" applyFont="1" applyFill="1" applyBorder="1" applyAlignment="1">
      <alignment horizontal="center"/>
    </xf>
    <xf numFmtId="164" fontId="23" fillId="38" borderId="0" xfId="0" applyNumberFormat="1" applyFont="1" applyFill="1" applyBorder="1" applyAlignment="1">
      <alignment horizontal="right"/>
    </xf>
    <xf numFmtId="0" fontId="92" fillId="38" borderId="0" xfId="0" applyFont="1" applyFill="1" applyBorder="1" applyAlignment="1">
      <alignment horizontal="right"/>
    </xf>
    <xf numFmtId="10" fontId="23" fillId="38" borderId="0" xfId="0" applyNumberFormat="1" applyFont="1" applyFill="1" applyBorder="1" applyAlignment="1">
      <alignment horizontal="right"/>
    </xf>
    <xf numFmtId="164" fontId="23" fillId="32" borderId="11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93" fillId="0" borderId="0" xfId="0" applyFont="1" applyAlignment="1">
      <alignment horizontal="left"/>
    </xf>
    <xf numFmtId="9" fontId="94" fillId="32" borderId="0" xfId="59" applyFont="1" applyFill="1" applyAlignment="1">
      <alignment horizontal="left"/>
    </xf>
    <xf numFmtId="0" fontId="3" fillId="0" borderId="0" xfId="0" applyFont="1" applyAlignment="1">
      <alignment horizontal="left"/>
    </xf>
    <xf numFmtId="0" fontId="95" fillId="38" borderId="0" xfId="0" applyFont="1" applyFill="1" applyBorder="1" applyAlignment="1">
      <alignment horizontal="center"/>
    </xf>
    <xf numFmtId="0" fontId="96" fillId="44" borderId="15" xfId="0" applyFont="1" applyFill="1" applyBorder="1" applyAlignment="1">
      <alignment horizontal="center"/>
    </xf>
    <xf numFmtId="0" fontId="97" fillId="0" borderId="0" xfId="0" applyFont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3" fontId="89" fillId="41" borderId="22" xfId="42" applyFont="1" applyFill="1" applyBorder="1" applyAlignment="1">
      <alignment horizontal="right" vertical="center" wrapText="1" readingOrder="1"/>
    </xf>
    <xf numFmtId="43" fontId="89" fillId="41" borderId="23" xfId="42" applyFont="1" applyFill="1" applyBorder="1" applyAlignment="1">
      <alignment horizontal="right" vertical="center" wrapText="1" readingOrder="1"/>
    </xf>
    <xf numFmtId="0" fontId="89" fillId="41" borderId="22" xfId="0" applyFont="1" applyFill="1" applyBorder="1" applyAlignment="1">
      <alignment horizontal="center" vertical="center" wrapText="1" readingOrder="1"/>
    </xf>
    <xf numFmtId="0" fontId="89" fillId="41" borderId="23" xfId="0" applyFont="1" applyFill="1" applyBorder="1" applyAlignment="1">
      <alignment horizontal="center" vertical="center" wrapText="1" readingOrder="1"/>
    </xf>
    <xf numFmtId="44" fontId="91" fillId="45" borderId="22" xfId="44" applyFont="1" applyFill="1" applyBorder="1" applyAlignment="1">
      <alignment horizontal="right" vertical="top" wrapText="1"/>
    </xf>
    <xf numFmtId="44" fontId="91" fillId="45" borderId="23" xfId="44" applyFont="1" applyFill="1" applyBorder="1" applyAlignment="1">
      <alignment horizontal="right" vertical="top" wrapText="1"/>
    </xf>
    <xf numFmtId="44" fontId="91" fillId="45" borderId="22" xfId="44" applyFont="1" applyFill="1" applyBorder="1" applyAlignment="1">
      <alignment vertical="top" wrapText="1"/>
    </xf>
    <xf numFmtId="44" fontId="91" fillId="45" borderId="23" xfId="44" applyFont="1" applyFill="1" applyBorder="1" applyAlignment="1">
      <alignment vertical="top" wrapText="1"/>
    </xf>
    <xf numFmtId="44" fontId="91" fillId="42" borderId="22" xfId="44" applyFont="1" applyFill="1" applyBorder="1" applyAlignment="1">
      <alignment vertical="top" wrapText="1"/>
    </xf>
    <xf numFmtId="44" fontId="91" fillId="42" borderId="23" xfId="44" applyFont="1" applyFill="1" applyBorder="1" applyAlignment="1">
      <alignment vertical="top" wrapText="1"/>
    </xf>
    <xf numFmtId="44" fontId="25" fillId="41" borderId="22" xfId="44" applyFont="1" applyFill="1" applyBorder="1" applyAlignment="1">
      <alignment vertical="top" wrapText="1"/>
    </xf>
    <xf numFmtId="44" fontId="25" fillId="41" borderId="23" xfId="44" applyFont="1" applyFill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7"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58"/>
  <sheetViews>
    <sheetView tabSelected="1" zoomScale="110" zoomScaleNormal="110" zoomScalePageLayoutView="0" workbookViewId="0" topLeftCell="A1">
      <pane ySplit="5805" topLeftCell="A32" activePane="topLeft" state="split"/>
      <selection pane="topLeft" activeCell="A2" sqref="A2:E2"/>
      <selection pane="bottomLeft" activeCell="B60" sqref="B60"/>
    </sheetView>
  </sheetViews>
  <sheetFormatPr defaultColWidth="9.140625" defaultRowHeight="12.75"/>
  <cols>
    <col min="1" max="1" width="3.28125" style="9" customWidth="1"/>
    <col min="2" max="2" width="50.421875" style="0" customWidth="1"/>
    <col min="3" max="3" width="17.00390625" style="0" bestFit="1" customWidth="1"/>
    <col min="4" max="4" width="20.140625" style="2" customWidth="1"/>
    <col min="5" max="5" width="17.28125" style="9" bestFit="1" customWidth="1"/>
    <col min="6" max="6" width="12.57421875" style="35" bestFit="1" customWidth="1"/>
    <col min="7" max="7" width="11.57421875" style="0" bestFit="1" customWidth="1"/>
    <col min="8" max="8" width="18.00390625" style="0" bestFit="1" customWidth="1"/>
    <col min="9" max="9" width="15.7109375" style="0" customWidth="1"/>
    <col min="10" max="10" width="14.421875" style="0" bestFit="1" customWidth="1"/>
    <col min="12" max="12" width="16.00390625" style="0" bestFit="1" customWidth="1"/>
    <col min="13" max="13" width="14.28125" style="0" bestFit="1" customWidth="1"/>
  </cols>
  <sheetData>
    <row r="1" ht="6" customHeight="1"/>
    <row r="2" spans="1:10" s="8" customFormat="1" ht="26.25">
      <c r="A2" s="283" t="s">
        <v>147</v>
      </c>
      <c r="B2" s="283"/>
      <c r="C2" s="283"/>
      <c r="D2" s="283"/>
      <c r="E2" s="283"/>
      <c r="F2" s="282" t="s">
        <v>145</v>
      </c>
      <c r="G2" s="281" t="s">
        <v>146</v>
      </c>
      <c r="H2"/>
      <c r="I2" s="1" t="s">
        <v>80</v>
      </c>
      <c r="J2" s="1" t="s">
        <v>81</v>
      </c>
    </row>
    <row r="3" spans="1:10" ht="15.75">
      <c r="A3" s="170" t="s">
        <v>26</v>
      </c>
      <c r="C3" s="3"/>
      <c r="E3" s="1"/>
      <c r="H3" s="8" t="s">
        <v>78</v>
      </c>
      <c r="I3" s="237">
        <f>+J3*12</f>
        <v>14556</v>
      </c>
      <c r="J3" s="235">
        <v>1213</v>
      </c>
    </row>
    <row r="4" spans="3:10" ht="15">
      <c r="C4" s="7"/>
      <c r="D4" s="224" t="s">
        <v>0</v>
      </c>
      <c r="E4" s="7"/>
      <c r="H4" t="s">
        <v>79</v>
      </c>
      <c r="I4" s="237">
        <f>+J4*12</f>
        <v>3600</v>
      </c>
      <c r="J4" s="235">
        <v>300</v>
      </c>
    </row>
    <row r="5" spans="1:12" ht="20.25">
      <c r="A5" s="51" t="s">
        <v>34</v>
      </c>
      <c r="C5" s="67" t="s">
        <v>1</v>
      </c>
      <c r="D5" s="67" t="s">
        <v>20</v>
      </c>
      <c r="E5" s="67" t="s">
        <v>2</v>
      </c>
      <c r="H5" t="s">
        <v>47</v>
      </c>
      <c r="I5" s="238">
        <v>1000</v>
      </c>
      <c r="J5" s="236">
        <f>+Inputs!B39</f>
        <v>0</v>
      </c>
      <c r="K5" s="154">
        <f>+J5/J4</f>
        <v>0</v>
      </c>
      <c r="L5" s="223" t="s">
        <v>99</v>
      </c>
    </row>
    <row r="6" spans="1:6" s="167" customFormat="1" ht="15">
      <c r="A6" s="163" t="s">
        <v>31</v>
      </c>
      <c r="B6" s="163"/>
      <c r="C6" s="164">
        <v>260</v>
      </c>
      <c r="D6" s="179"/>
      <c r="E6" s="165">
        <f>+C6+D6</f>
        <v>260</v>
      </c>
      <c r="F6" s="166"/>
    </row>
    <row r="7" spans="1:8" s="167" customFormat="1" ht="15">
      <c r="A7" s="163" t="s">
        <v>77</v>
      </c>
      <c r="B7" s="163"/>
      <c r="C7" s="184">
        <f>+J3/30</f>
        <v>40.43333333333333</v>
      </c>
      <c r="D7" s="180"/>
      <c r="E7" s="188">
        <f>+C7+D7</f>
        <v>40.43333333333333</v>
      </c>
      <c r="F7" s="209"/>
      <c r="H7" s="167" t="s">
        <v>137</v>
      </c>
    </row>
    <row r="8" spans="1:6" s="167" customFormat="1" ht="15">
      <c r="A8" s="163" t="s">
        <v>30</v>
      </c>
      <c r="B8" s="163"/>
      <c r="C8" s="186">
        <f>+J4/30</f>
        <v>10</v>
      </c>
      <c r="D8" s="241"/>
      <c r="E8" s="245">
        <f>+C8+D8</f>
        <v>10</v>
      </c>
      <c r="F8" s="209"/>
    </row>
    <row r="9" spans="1:10" s="167" customFormat="1" ht="15.75">
      <c r="A9" s="163" t="s">
        <v>32</v>
      </c>
      <c r="B9" s="163"/>
      <c r="C9" s="189">
        <f>+C8/C7</f>
        <v>0.247320692497939</v>
      </c>
      <c r="D9" s="168"/>
      <c r="E9" s="169">
        <f>+E8/E7</f>
        <v>0.247320692497939</v>
      </c>
      <c r="F9" s="166"/>
      <c r="H9" s="170" t="s">
        <v>46</v>
      </c>
      <c r="I9" s="170" t="s">
        <v>47</v>
      </c>
      <c r="J9" s="170" t="s">
        <v>48</v>
      </c>
    </row>
    <row r="10" spans="1:10" s="167" customFormat="1" ht="15">
      <c r="A10" s="163" t="s">
        <v>35</v>
      </c>
      <c r="B10" s="163"/>
      <c r="C10" s="185">
        <f>+H11/12</f>
        <v>0.38461666666666666</v>
      </c>
      <c r="D10" s="212">
        <f>+J10</f>
        <v>0.0320503</v>
      </c>
      <c r="E10" s="187">
        <f>+C10+D10</f>
        <v>0.41666696666666664</v>
      </c>
      <c r="F10" s="166"/>
      <c r="G10" s="171"/>
      <c r="H10" s="218">
        <v>5</v>
      </c>
      <c r="I10" s="211">
        <f>ROUND(+H10/12,6)</f>
        <v>0.416667</v>
      </c>
      <c r="J10" s="211">
        <f>ROUND(+I10-C10,7)</f>
        <v>0.0320503</v>
      </c>
    </row>
    <row r="11" spans="1:9" s="167" customFormat="1" ht="24" customHeight="1" thickBot="1">
      <c r="A11" s="163" t="s">
        <v>36</v>
      </c>
      <c r="B11" s="163"/>
      <c r="C11" s="210">
        <f>+C10*C6*C8</f>
        <v>1000.0033333333333</v>
      </c>
      <c r="D11" s="172"/>
      <c r="E11" s="205">
        <f>ROUND(+E6*E9*E7*E10,2)</f>
        <v>1083.33</v>
      </c>
      <c r="F11" s="166"/>
      <c r="H11" s="218">
        <v>4.6154</v>
      </c>
      <c r="I11" s="167" t="s">
        <v>1</v>
      </c>
    </row>
    <row r="12" spans="1:6" s="167" customFormat="1" ht="3" customHeight="1" thickTop="1">
      <c r="A12" s="170"/>
      <c r="C12" s="173"/>
      <c r="D12" s="174"/>
      <c r="E12" s="173"/>
      <c r="F12" s="166"/>
    </row>
    <row r="13" spans="1:9" s="167" customFormat="1" ht="18">
      <c r="A13" s="5" t="s">
        <v>44</v>
      </c>
      <c r="C13" s="175" t="s">
        <v>1</v>
      </c>
      <c r="D13" s="67" t="s">
        <v>20</v>
      </c>
      <c r="E13" s="175" t="s">
        <v>2</v>
      </c>
      <c r="F13" s="166"/>
      <c r="G13" s="175" t="s">
        <v>1</v>
      </c>
      <c r="H13" s="67" t="s">
        <v>20</v>
      </c>
      <c r="I13" s="175" t="s">
        <v>2</v>
      </c>
    </row>
    <row r="14" spans="1:11" s="167" customFormat="1" ht="15.75">
      <c r="A14" s="170" t="s">
        <v>41</v>
      </c>
      <c r="C14" s="173"/>
      <c r="D14" s="174"/>
      <c r="E14" s="173"/>
      <c r="F14" s="222" t="s">
        <v>88</v>
      </c>
      <c r="G14" s="170" t="s">
        <v>90</v>
      </c>
      <c r="J14" s="221" t="s">
        <v>89</v>
      </c>
      <c r="K14" s="167">
        <v>2014</v>
      </c>
    </row>
    <row r="15" spans="1:10" s="167" customFormat="1" ht="15.75">
      <c r="A15" s="170"/>
      <c r="B15" s="167" t="s">
        <v>118</v>
      </c>
      <c r="C15" s="191">
        <f>1-C16</f>
        <v>0.5085500000000001</v>
      </c>
      <c r="D15" s="246"/>
      <c r="E15" s="191">
        <f>+D15+C15</f>
        <v>0.5085500000000001</v>
      </c>
      <c r="F15" s="217">
        <f aca="true" t="shared" si="0" ref="F15:F20">+D15*$C$11</f>
        <v>0</v>
      </c>
      <c r="G15" s="193">
        <v>240</v>
      </c>
      <c r="H15" s="192"/>
      <c r="I15" s="194">
        <f>+H15+G15</f>
        <v>240</v>
      </c>
      <c r="J15" s="220">
        <f>+I15/12</f>
        <v>20</v>
      </c>
    </row>
    <row r="16" spans="1:10" s="167" customFormat="1" ht="15.75">
      <c r="A16" s="170"/>
      <c r="B16" s="167" t="s">
        <v>119</v>
      </c>
      <c r="C16" s="191">
        <v>0.49145</v>
      </c>
      <c r="D16" s="247"/>
      <c r="E16" s="191">
        <f>+D16+C16</f>
        <v>0.49145</v>
      </c>
      <c r="F16" s="217">
        <f t="shared" si="0"/>
        <v>0</v>
      </c>
      <c r="G16" s="193">
        <v>720</v>
      </c>
      <c r="H16" s="192"/>
      <c r="I16" s="194">
        <f>+H16+G16</f>
        <v>720</v>
      </c>
      <c r="J16" s="220">
        <f aca="true" t="shared" si="1" ref="J16:J30">+I16/12</f>
        <v>60</v>
      </c>
    </row>
    <row r="17" spans="1:10" s="167" customFormat="1" ht="15.75">
      <c r="A17" s="170"/>
      <c r="B17" s="167" t="s">
        <v>100</v>
      </c>
      <c r="C17" s="190"/>
      <c r="D17" s="268"/>
      <c r="E17" s="191">
        <f aca="true" t="shared" si="2" ref="E17:E30">+D17+C17</f>
        <v>0</v>
      </c>
      <c r="F17" s="217">
        <f t="shared" si="0"/>
        <v>0</v>
      </c>
      <c r="G17" s="193">
        <f>15*12</f>
        <v>180</v>
      </c>
      <c r="H17" s="192"/>
      <c r="I17" s="194">
        <f aca="true" t="shared" si="3" ref="I17:I30">+H17+G17</f>
        <v>180</v>
      </c>
      <c r="J17" s="220">
        <f t="shared" si="1"/>
        <v>15</v>
      </c>
    </row>
    <row r="18" spans="1:10" s="167" customFormat="1" ht="15.75">
      <c r="A18" s="170"/>
      <c r="B18" s="167" t="s">
        <v>101</v>
      </c>
      <c r="C18" s="190"/>
      <c r="D18" s="248"/>
      <c r="E18" s="191">
        <f t="shared" si="2"/>
        <v>0</v>
      </c>
      <c r="F18" s="217">
        <f t="shared" si="0"/>
        <v>0</v>
      </c>
      <c r="G18" s="193">
        <v>0</v>
      </c>
      <c r="H18" s="192"/>
      <c r="I18" s="194">
        <f t="shared" si="3"/>
        <v>0</v>
      </c>
      <c r="J18" s="220">
        <f t="shared" si="1"/>
        <v>0</v>
      </c>
    </row>
    <row r="19" spans="1:10" s="167" customFormat="1" ht="15.75">
      <c r="A19" s="170"/>
      <c r="B19" s="167" t="s">
        <v>102</v>
      </c>
      <c r="C19" s="190"/>
      <c r="D19" s="248"/>
      <c r="E19" s="191">
        <f t="shared" si="2"/>
        <v>0</v>
      </c>
      <c r="F19" s="217">
        <f t="shared" si="0"/>
        <v>0</v>
      </c>
      <c r="G19" s="193">
        <v>0</v>
      </c>
      <c r="H19" s="192"/>
      <c r="I19" s="194">
        <f t="shared" si="3"/>
        <v>0</v>
      </c>
      <c r="J19" s="220">
        <f t="shared" si="1"/>
        <v>0</v>
      </c>
    </row>
    <row r="20" spans="1:10" s="167" customFormat="1" ht="15.75">
      <c r="A20" s="170"/>
      <c r="B20" s="167" t="s">
        <v>103</v>
      </c>
      <c r="C20" s="190"/>
      <c r="D20" s="248"/>
      <c r="E20" s="191">
        <f t="shared" si="2"/>
        <v>0</v>
      </c>
      <c r="F20" s="217">
        <f t="shared" si="0"/>
        <v>0</v>
      </c>
      <c r="G20" s="193">
        <v>0</v>
      </c>
      <c r="H20" s="192"/>
      <c r="I20" s="194">
        <f t="shared" si="3"/>
        <v>0</v>
      </c>
      <c r="J20" s="220">
        <f t="shared" si="1"/>
        <v>0</v>
      </c>
    </row>
    <row r="21" spans="1:10" s="167" customFormat="1" ht="15.75">
      <c r="A21" s="170"/>
      <c r="B21" s="167" t="s">
        <v>104</v>
      </c>
      <c r="C21" s="190"/>
      <c r="D21" s="248"/>
      <c r="E21" s="191">
        <f t="shared" si="2"/>
        <v>0</v>
      </c>
      <c r="F21" s="217">
        <f aca="true" t="shared" si="4" ref="F21:F30">+D21*$C$11</f>
        <v>0</v>
      </c>
      <c r="G21" s="193">
        <v>0</v>
      </c>
      <c r="H21" s="192"/>
      <c r="I21" s="194">
        <f t="shared" si="3"/>
        <v>0</v>
      </c>
      <c r="J21" s="220">
        <f t="shared" si="1"/>
        <v>0</v>
      </c>
    </row>
    <row r="22" spans="1:10" s="167" customFormat="1" ht="15.75">
      <c r="A22" s="170"/>
      <c r="B22" s="167" t="s">
        <v>105</v>
      </c>
      <c r="C22" s="190"/>
      <c r="D22" s="248"/>
      <c r="E22" s="191">
        <f t="shared" si="2"/>
        <v>0</v>
      </c>
      <c r="F22" s="217">
        <f t="shared" si="4"/>
        <v>0</v>
      </c>
      <c r="G22" s="193">
        <v>0</v>
      </c>
      <c r="H22" s="192"/>
      <c r="I22" s="194">
        <f t="shared" si="3"/>
        <v>0</v>
      </c>
      <c r="J22" s="220">
        <f t="shared" si="1"/>
        <v>0</v>
      </c>
    </row>
    <row r="23" spans="1:10" s="167" customFormat="1" ht="15.75">
      <c r="A23" s="170"/>
      <c r="B23" s="167" t="s">
        <v>106</v>
      </c>
      <c r="C23" s="190"/>
      <c r="D23" s="213"/>
      <c r="E23" s="191">
        <f t="shared" si="2"/>
        <v>0</v>
      </c>
      <c r="F23" s="217">
        <f t="shared" si="4"/>
        <v>0</v>
      </c>
      <c r="G23" s="193">
        <v>0</v>
      </c>
      <c r="H23" s="192"/>
      <c r="I23" s="194">
        <f t="shared" si="3"/>
        <v>0</v>
      </c>
      <c r="J23" s="220">
        <f t="shared" si="1"/>
        <v>0</v>
      </c>
    </row>
    <row r="24" spans="1:10" s="167" customFormat="1" ht="15.75">
      <c r="A24" s="170"/>
      <c r="B24" s="167" t="s">
        <v>107</v>
      </c>
      <c r="C24" s="190"/>
      <c r="D24" s="213"/>
      <c r="E24" s="191">
        <f t="shared" si="2"/>
        <v>0</v>
      </c>
      <c r="F24" s="217">
        <f t="shared" si="4"/>
        <v>0</v>
      </c>
      <c r="G24" s="193">
        <v>0</v>
      </c>
      <c r="H24" s="192"/>
      <c r="I24" s="194">
        <f t="shared" si="3"/>
        <v>0</v>
      </c>
      <c r="J24" s="220">
        <f t="shared" si="1"/>
        <v>0</v>
      </c>
    </row>
    <row r="25" spans="1:10" s="167" customFormat="1" ht="15.75">
      <c r="A25" s="170"/>
      <c r="B25" s="167" t="s">
        <v>108</v>
      </c>
      <c r="C25" s="190"/>
      <c r="D25" s="213"/>
      <c r="E25" s="191">
        <f t="shared" si="2"/>
        <v>0</v>
      </c>
      <c r="F25" s="217">
        <f t="shared" si="4"/>
        <v>0</v>
      </c>
      <c r="G25" s="193">
        <v>0</v>
      </c>
      <c r="H25" s="192"/>
      <c r="I25" s="194">
        <f t="shared" si="3"/>
        <v>0</v>
      </c>
      <c r="J25" s="220">
        <f t="shared" si="1"/>
        <v>0</v>
      </c>
    </row>
    <row r="26" spans="1:10" s="167" customFormat="1" ht="15.75">
      <c r="A26" s="170"/>
      <c r="B26" s="167" t="s">
        <v>109</v>
      </c>
      <c r="C26" s="190"/>
      <c r="D26" s="213"/>
      <c r="E26" s="191">
        <f t="shared" si="2"/>
        <v>0</v>
      </c>
      <c r="F26" s="217">
        <f t="shared" si="4"/>
        <v>0</v>
      </c>
      <c r="G26" s="193">
        <v>0</v>
      </c>
      <c r="H26" s="192"/>
      <c r="I26" s="194">
        <f t="shared" si="3"/>
        <v>0</v>
      </c>
      <c r="J26" s="220">
        <f t="shared" si="1"/>
        <v>0</v>
      </c>
    </row>
    <row r="27" spans="1:10" s="167" customFormat="1" ht="15.75">
      <c r="A27" s="170"/>
      <c r="B27" s="167" t="s">
        <v>110</v>
      </c>
      <c r="C27" s="190"/>
      <c r="D27" s="213"/>
      <c r="E27" s="191">
        <f t="shared" si="2"/>
        <v>0</v>
      </c>
      <c r="F27" s="217">
        <f t="shared" si="4"/>
        <v>0</v>
      </c>
      <c r="G27" s="193">
        <v>0</v>
      </c>
      <c r="H27" s="192"/>
      <c r="I27" s="194">
        <f t="shared" si="3"/>
        <v>0</v>
      </c>
      <c r="J27" s="220">
        <f t="shared" si="1"/>
        <v>0</v>
      </c>
    </row>
    <row r="28" spans="1:10" s="167" customFormat="1" ht="15.75">
      <c r="A28" s="170"/>
      <c r="B28" s="167" t="s">
        <v>111</v>
      </c>
      <c r="C28" s="190"/>
      <c r="D28" s="213"/>
      <c r="E28" s="191">
        <f t="shared" si="2"/>
        <v>0</v>
      </c>
      <c r="F28" s="217">
        <f t="shared" si="4"/>
        <v>0</v>
      </c>
      <c r="G28" s="193">
        <v>0</v>
      </c>
      <c r="H28" s="192"/>
      <c r="I28" s="194">
        <f t="shared" si="3"/>
        <v>0</v>
      </c>
      <c r="J28" s="220">
        <f t="shared" si="1"/>
        <v>0</v>
      </c>
    </row>
    <row r="29" spans="1:10" s="167" customFormat="1" ht="15.75">
      <c r="A29" s="170"/>
      <c r="B29" s="167" t="s">
        <v>112</v>
      </c>
      <c r="C29" s="190"/>
      <c r="D29" s="213"/>
      <c r="E29" s="191">
        <f t="shared" si="2"/>
        <v>0</v>
      </c>
      <c r="F29" s="217">
        <f t="shared" si="4"/>
        <v>0</v>
      </c>
      <c r="G29" s="193">
        <v>1200</v>
      </c>
      <c r="H29" s="192"/>
      <c r="I29" s="194">
        <f t="shared" si="3"/>
        <v>1200</v>
      </c>
      <c r="J29" s="220">
        <f t="shared" si="1"/>
        <v>100</v>
      </c>
    </row>
    <row r="30" spans="1:10" s="167" customFormat="1" ht="15.75">
      <c r="A30" s="170"/>
      <c r="B30" s="167" t="s">
        <v>113</v>
      </c>
      <c r="C30" s="190"/>
      <c r="D30" s="192"/>
      <c r="E30" s="176">
        <f t="shared" si="2"/>
        <v>0</v>
      </c>
      <c r="F30" s="217">
        <f t="shared" si="4"/>
        <v>0</v>
      </c>
      <c r="G30" s="193">
        <v>1320</v>
      </c>
      <c r="H30" s="192"/>
      <c r="I30" s="194">
        <f t="shared" si="3"/>
        <v>1320</v>
      </c>
      <c r="J30" s="219">
        <f t="shared" si="1"/>
        <v>110</v>
      </c>
    </row>
    <row r="31" spans="1:9" s="167" customFormat="1" ht="15.75">
      <c r="A31" s="170"/>
      <c r="C31" s="215">
        <f>SUM(C15:C30)</f>
        <v>1</v>
      </c>
      <c r="D31" s="214">
        <f>IF(SUM(D15:D30)&lt;&gt;0,"Error, Percentages must total zero.","")</f>
      </c>
      <c r="E31" s="216">
        <f>SUM(E15:E30)</f>
        <v>1</v>
      </c>
      <c r="F31" s="166"/>
      <c r="G31" s="284"/>
      <c r="H31" s="284"/>
      <c r="I31" s="284"/>
    </row>
    <row r="32" spans="2:5" ht="18" customHeight="1">
      <c r="B32" s="12"/>
      <c r="C32" s="52"/>
      <c r="D32" s="57"/>
      <c r="E32" s="52"/>
    </row>
    <row r="33" spans="1:6" ht="16.5" customHeight="1">
      <c r="A33" s="51" t="s">
        <v>45</v>
      </c>
      <c r="B33" s="55"/>
      <c r="C33" s="67" t="s">
        <v>1</v>
      </c>
      <c r="D33" s="67" t="s">
        <v>20</v>
      </c>
      <c r="E33" s="67" t="s">
        <v>2</v>
      </c>
      <c r="F33" s="67" t="s">
        <v>66</v>
      </c>
    </row>
    <row r="34" spans="1:12" ht="15">
      <c r="A34" s="56" t="str">
        <f>+""&amp;F2&amp;" "&amp;"revenue impact of volume increase"</f>
        <v>Annual revenue impact of volume increase</v>
      </c>
      <c r="B34" s="56"/>
      <c r="C34" s="159">
        <v>476000</v>
      </c>
      <c r="D34" s="160">
        <f>+E34-C34</f>
        <v>39665.07999999996</v>
      </c>
      <c r="E34" s="161">
        <f>+E11*L34</f>
        <v>515665.07999999996</v>
      </c>
      <c r="F34" s="162"/>
      <c r="H34" s="109"/>
      <c r="I34" s="110" t="s">
        <v>33</v>
      </c>
      <c r="J34" s="109"/>
      <c r="K34" s="109"/>
      <c r="L34" s="113">
        <v>476</v>
      </c>
    </row>
    <row r="35" spans="1:12" ht="15">
      <c r="A35" s="56" t="str">
        <f>+""&amp;F2&amp;" "&amp;" revenue impact of mix change"</f>
        <v>Annual  revenue impact of mix change</v>
      </c>
      <c r="B35" s="56"/>
      <c r="C35" s="159">
        <f>+C34</f>
        <v>476000</v>
      </c>
      <c r="D35" s="160">
        <f>+E35-C35</f>
        <v>39665.07999999996</v>
      </c>
      <c r="E35" s="161">
        <f>+E$11*L35</f>
        <v>515665.07999999996</v>
      </c>
      <c r="F35" s="162">
        <f>+E35-E34</f>
        <v>0</v>
      </c>
      <c r="H35" s="112" t="s">
        <v>42</v>
      </c>
      <c r="I35" s="110" t="s">
        <v>39</v>
      </c>
      <c r="J35" s="109"/>
      <c r="K35" s="109"/>
      <c r="L35" s="113">
        <f>ROUND((+E15*$C$11*G15+E16*$C$11*G16+E17*$C$11*G17+E18*$C$11*G18+E19*$C$11*G19+E20*$C$11*G20+E21*$C$11*G21+E22*$C$11*G22+E23*$C$11*G23+E24*$C$11*G24+E25*$C$11*G25+E26*$C$11*G26+E27*$C$11*G27+E28*$C$11*G28+E29*$C$11*G29+E30*$C$11*G30)/C$11,2)+0.1</f>
        <v>476</v>
      </c>
    </row>
    <row r="36" spans="1:12" ht="15">
      <c r="A36" s="56" t="str">
        <f>+""&amp;F2&amp;" "&amp;"revenue impact of price increase"</f>
        <v>Annual revenue impact of price increase</v>
      </c>
      <c r="B36" s="56"/>
      <c r="C36" s="159">
        <f>+C35</f>
        <v>476000</v>
      </c>
      <c r="D36" s="160">
        <f>+E36-C36</f>
        <v>39665.07999999996</v>
      </c>
      <c r="E36" s="161">
        <f>+E$11*L36</f>
        <v>515665.07999999996</v>
      </c>
      <c r="F36" s="162">
        <f>+E36-E34</f>
        <v>0</v>
      </c>
      <c r="H36" s="112" t="s">
        <v>43</v>
      </c>
      <c r="I36" s="110" t="s">
        <v>40</v>
      </c>
      <c r="J36" s="109"/>
      <c r="K36" s="109"/>
      <c r="L36" s="113">
        <f>ROUND((+C15*$C$11*I15+C16*$C$11*I16+C17*$C$11*I17+C18*$C$11*I18+C19*$C$11*I19+C20*$C$11*I20+C21*$C$11*I21+C22*$C$11*I22+C23*$C$11*I23+C24*$C$11*I24+C25*$C$11*I25+C26*$C$11*I26+C27*$C$11*I27+C28*$C$11*I28+C29*$C$11*I29+C30*$C$11*I30)/C$11,2)+0.1</f>
        <v>476</v>
      </c>
    </row>
    <row r="37" spans="1:12" ht="9" customHeight="1">
      <c r="A37" s="56"/>
      <c r="B37" s="56"/>
      <c r="C37" s="159"/>
      <c r="D37" s="225"/>
      <c r="E37" s="161"/>
      <c r="F37" s="162"/>
      <c r="H37" s="226"/>
      <c r="I37" s="227"/>
      <c r="J37" s="228"/>
      <c r="K37" s="228"/>
      <c r="L37" s="229"/>
    </row>
    <row r="38" spans="1:12" ht="15">
      <c r="A38" s="56" t="str">
        <f>+"Combined "&amp;LOWER(F2)&amp;" "&amp;"revenue impact of mix + price increase"</f>
        <v>Combined annual revenue impact of mix + price increase</v>
      </c>
      <c r="B38" s="55"/>
      <c r="C38" s="159">
        <f>+C35</f>
        <v>476000</v>
      </c>
      <c r="D38" s="160">
        <f>+E38-C38</f>
        <v>39665.07999999996</v>
      </c>
      <c r="E38" s="161">
        <f>+L38*E11</f>
        <v>515665.07999999996</v>
      </c>
      <c r="F38" s="162">
        <f>+E38-E34</f>
        <v>0</v>
      </c>
      <c r="G38" s="1"/>
      <c r="H38" s="112" t="s">
        <v>92</v>
      </c>
      <c r="I38" s="110" t="s">
        <v>91</v>
      </c>
      <c r="J38" s="109"/>
      <c r="K38" s="109"/>
      <c r="L38" s="113">
        <f>ROUND((+E15*$C$11*I15+E16*$C$11*I16+E17*$C$11*I17+E18*$C$11*I18+E19*$C$11*I19+E20*$C$11*I20+E21*$C$11*I21+E22*$C$11*I22+E23*$C$11*I23+E24*$C$11*I24+E25*$C$11*I25+E26*$C$11*I26+E27*$C$11*I27+E28*$C$11*I28+E29*$C$11*I29+E30*$C$11*I30)/C$11,2)+0.1</f>
        <v>476</v>
      </c>
    </row>
    <row r="39" spans="1:11" ht="20.25" hidden="1">
      <c r="A39" s="51" t="s">
        <v>49</v>
      </c>
      <c r="C39" s="60"/>
      <c r="D39"/>
      <c r="E39" s="58"/>
      <c r="I39" s="110"/>
      <c r="J39" s="109"/>
      <c r="K39" s="109"/>
    </row>
    <row r="40" spans="1:8" ht="12.75" hidden="1">
      <c r="A40" s="12" t="s">
        <v>37</v>
      </c>
      <c r="C40" s="88">
        <v>0.4</v>
      </c>
      <c r="D40" s="80"/>
      <c r="E40" s="52">
        <f>+D40+C40</f>
        <v>0.4</v>
      </c>
      <c r="F40" s="64"/>
      <c r="G40" s="65"/>
      <c r="H40" s="65"/>
    </row>
    <row r="41" spans="1:8" ht="12.75" hidden="1">
      <c r="A41" s="12" t="s">
        <v>38</v>
      </c>
      <c r="C41" s="88">
        <v>0.3</v>
      </c>
      <c r="D41" s="80"/>
      <c r="E41" s="52">
        <f>+D41+C41</f>
        <v>0.3</v>
      </c>
      <c r="F41" s="64"/>
      <c r="G41" s="65"/>
      <c r="H41" s="65"/>
    </row>
    <row r="42" spans="1:8" ht="13.5" customHeight="1" hidden="1">
      <c r="A42" s="59"/>
      <c r="B42" s="65"/>
      <c r="C42" s="61"/>
      <c r="D42" s="61"/>
      <c r="E42" s="29"/>
      <c r="F42" s="64"/>
      <c r="G42" s="65"/>
      <c r="H42" s="65"/>
    </row>
    <row r="43" spans="1:8" ht="13.5" customHeight="1" hidden="1">
      <c r="A43" s="9" t="s">
        <v>28</v>
      </c>
      <c r="C43" s="82">
        <v>0.17</v>
      </c>
      <c r="D43" s="48"/>
      <c r="E43" s="84">
        <f>SUM(C43:D43)</f>
        <v>0.17</v>
      </c>
      <c r="G43" s="65"/>
      <c r="H43" s="65"/>
    </row>
    <row r="44" spans="1:8" ht="12.75" hidden="1">
      <c r="A44" s="9" t="s">
        <v>69</v>
      </c>
      <c r="C44" s="86">
        <v>100000</v>
      </c>
      <c r="D44" s="49"/>
      <c r="E44" s="87">
        <f>SUM(C44:D44)</f>
        <v>100000</v>
      </c>
      <c r="G44" s="65"/>
      <c r="H44" s="65"/>
    </row>
    <row r="45" spans="3:8" ht="12.75" hidden="1">
      <c r="C45" s="60"/>
      <c r="D45" s="62"/>
      <c r="E45" s="71"/>
      <c r="G45" s="65"/>
      <c r="H45" s="65"/>
    </row>
    <row r="46" spans="3:8" ht="12.75">
      <c r="C46" s="60"/>
      <c r="D46" s="62"/>
      <c r="E46" s="58"/>
      <c r="G46" s="65"/>
      <c r="H46" s="65"/>
    </row>
    <row r="47" spans="1:8" ht="20.25" customHeight="1" hidden="1" thickBot="1">
      <c r="A47" s="285" t="s">
        <v>52</v>
      </c>
      <c r="B47" s="285"/>
      <c r="C47" s="285"/>
      <c r="D47" s="285"/>
      <c r="E47" s="285"/>
      <c r="F47" s="285"/>
      <c r="G47" s="65"/>
      <c r="H47" s="65"/>
    </row>
    <row r="48" spans="1:8" s="6" customFormat="1" ht="18" hidden="1">
      <c r="A48" s="50" t="s">
        <v>51</v>
      </c>
      <c r="B48"/>
      <c r="C48" s="17"/>
      <c r="D48" s="17"/>
      <c r="E48" s="22"/>
      <c r="F48" s="35"/>
      <c r="G48" s="66"/>
      <c r="H48" s="66"/>
    </row>
    <row r="49" spans="1:9" ht="31.5" customHeight="1" hidden="1">
      <c r="A49" s="3"/>
      <c r="B49" t="s">
        <v>26</v>
      </c>
      <c r="C49" s="68">
        <f>+C34</f>
        <v>476000</v>
      </c>
      <c r="D49" s="69">
        <f>+D34</f>
        <v>39665.07999999996</v>
      </c>
      <c r="E49" s="68">
        <f>+E34</f>
        <v>515665.07999999996</v>
      </c>
      <c r="F49" s="79">
        <f>+E49/E50</f>
        <v>1.00000015513948</v>
      </c>
      <c r="G49" s="65"/>
      <c r="H49" s="65"/>
      <c r="I49" s="144"/>
    </row>
    <row r="50" spans="2:8" ht="18.75" customHeight="1" hidden="1">
      <c r="B50" s="14" t="s">
        <v>14</v>
      </c>
      <c r="C50" s="151">
        <f>ROUND(SUM(C49:C49),0)</f>
        <v>476000</v>
      </c>
      <c r="D50" s="151">
        <f>E50-C50</f>
        <v>39665</v>
      </c>
      <c r="E50" s="151">
        <f>ROUND(SUM(E49:E49),0)</f>
        <v>515665</v>
      </c>
      <c r="F50" s="79"/>
      <c r="G50" s="65"/>
      <c r="H50" s="65"/>
    </row>
    <row r="51" spans="2:8" ht="12.75" hidden="1">
      <c r="B51" t="s">
        <v>16</v>
      </c>
      <c r="C51" s="32" t="e">
        <f>+(#REF!*C40+#REF!*C41)*C49</f>
        <v>#REF!</v>
      </c>
      <c r="D51" s="32" t="e">
        <f>E51-C51</f>
        <v>#REF!</v>
      </c>
      <c r="E51" s="32" t="e">
        <f>+(#REF!*E40+#REF!*E41)*E49</f>
        <v>#REF!</v>
      </c>
      <c r="F51" s="79" t="e">
        <f>+E51/E50</f>
        <v>#REF!</v>
      </c>
      <c r="G51" s="65"/>
      <c r="H51" s="65"/>
    </row>
    <row r="52" spans="2:8" ht="12.75" hidden="1">
      <c r="B52" s="14" t="s">
        <v>23</v>
      </c>
      <c r="C52" s="31" t="e">
        <f>C50-C51</f>
        <v>#REF!</v>
      </c>
      <c r="D52" s="31" t="e">
        <f>E52-C52</f>
        <v>#REF!</v>
      </c>
      <c r="E52" s="31" t="e">
        <f>E50-E51</f>
        <v>#REF!</v>
      </c>
      <c r="F52" s="79" t="e">
        <f>+E52/E50</f>
        <v>#REF!</v>
      </c>
      <c r="G52" s="65"/>
      <c r="H52" s="65"/>
    </row>
    <row r="53" spans="1:8" ht="12.75" hidden="1">
      <c r="A53" s="9" t="s">
        <v>12</v>
      </c>
      <c r="C53" s="25"/>
      <c r="D53" s="25"/>
      <c r="E53" s="29"/>
      <c r="F53" s="79"/>
      <c r="G53" s="65"/>
      <c r="H53" s="65"/>
    </row>
    <row r="54" spans="2:8" s="9" customFormat="1" ht="18" customHeight="1" hidden="1">
      <c r="B54" t="s">
        <v>22</v>
      </c>
      <c r="C54" s="68">
        <f>ROUND(+C43*C50,0)</f>
        <v>80920</v>
      </c>
      <c r="D54" s="69">
        <f>E54-C54</f>
        <v>6743</v>
      </c>
      <c r="E54" s="70">
        <f>ROUND(+E43*E50,0)</f>
        <v>87663</v>
      </c>
      <c r="F54" s="79">
        <f>+E54/E50</f>
        <v>0.16999990303782495</v>
      </c>
      <c r="G54" s="59"/>
      <c r="H54" s="59"/>
    </row>
    <row r="55" spans="2:8" ht="12.75" hidden="1">
      <c r="B55" s="12" t="s">
        <v>13</v>
      </c>
      <c r="C55" s="68">
        <f>+C44</f>
        <v>100000</v>
      </c>
      <c r="D55" s="72">
        <f>E55-C55</f>
        <v>0</v>
      </c>
      <c r="E55" s="71">
        <f>+E44</f>
        <v>100000</v>
      </c>
      <c r="F55" s="79">
        <f>+E55/E50</f>
        <v>0.1939243501110217</v>
      </c>
      <c r="G55" s="65"/>
      <c r="H55" s="65"/>
    </row>
    <row r="56" spans="1:8" ht="12.75" hidden="1">
      <c r="A56" s="9" t="s">
        <v>4</v>
      </c>
      <c r="B56" s="15" t="s">
        <v>17</v>
      </c>
      <c r="C56" s="30">
        <f>SUM(C54:C55)</f>
        <v>180920</v>
      </c>
      <c r="D56" s="30">
        <f>SUM(D54:D55)</f>
        <v>6743</v>
      </c>
      <c r="E56" s="31">
        <f>SUM(E54:E55)</f>
        <v>187663</v>
      </c>
      <c r="F56" s="79"/>
      <c r="G56" s="65"/>
      <c r="H56" s="65"/>
    </row>
    <row r="57" spans="1:6" ht="18.75" hidden="1" thickBot="1">
      <c r="A57" s="5" t="s">
        <v>15</v>
      </c>
      <c r="B57" s="5"/>
      <c r="C57" s="73" t="e">
        <f>+C52-C56</f>
        <v>#REF!</v>
      </c>
      <c r="D57" s="74" t="e">
        <f>+D52-D56</f>
        <v>#REF!</v>
      </c>
      <c r="E57" s="78" t="e">
        <f>+E52-E56</f>
        <v>#REF!</v>
      </c>
      <c r="F57" s="54" t="e">
        <f>+E57/E50</f>
        <v>#REF!</v>
      </c>
    </row>
    <row r="58" spans="1:6" ht="18">
      <c r="A58" s="5"/>
      <c r="B58" s="5"/>
      <c r="C58" s="75"/>
      <c r="D58" s="76"/>
      <c r="E58" s="77"/>
      <c r="F58" s="63"/>
    </row>
  </sheetData>
  <sheetProtection/>
  <mergeCells count="3">
    <mergeCell ref="A2:E2"/>
    <mergeCell ref="G31:I31"/>
    <mergeCell ref="A47:F47"/>
  </mergeCells>
  <conditionalFormatting sqref="D34:D38">
    <cfRule type="aboveAverage" priority="1" dxfId="0">
      <formula>D34&gt;AVERAGE(IF(ISERROR($D$34:$D$38),"",IF(ISBLANK($D$34:$D$38),"",$D$34:$D$38)))</formula>
    </cfRule>
  </conditionalFormatting>
  <printOptions horizontalCentered="1"/>
  <pageMargins left="0.75" right="0.25" top="0.28" bottom="0.37" header="0.44" footer="0.17"/>
  <pageSetup cellComments="asDisplayed" fitToHeight="1" fitToWidth="1" horizontalDpi="600" verticalDpi="600" orientation="landscape" scale="68" r:id="rId3"/>
  <headerFooter alignWithMargins="0">
    <oddFooter>&amp;LProfit Equation Planner - Wineries&amp;CCopyright: Brotemarkle, Davis &amp; Co. LLP
707.963.4466&amp;R&amp;D 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4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3.57421875" style="195" bestFit="1" customWidth="1"/>
    <col min="2" max="2" width="9.57421875" style="195" bestFit="1" customWidth="1"/>
    <col min="3" max="4" width="9.140625" style="195" customWidth="1"/>
    <col min="5" max="5" width="25.8515625" style="195" bestFit="1" customWidth="1"/>
    <col min="6" max="6" width="11.57421875" style="195" bestFit="1" customWidth="1"/>
    <col min="7" max="16384" width="9.140625" style="195" customWidth="1"/>
  </cols>
  <sheetData>
    <row r="1" spans="1:7" ht="15">
      <c r="A1" s="239" t="s">
        <v>115</v>
      </c>
      <c r="B1" s="239"/>
      <c r="C1" s="239"/>
      <c r="D1" s="239"/>
      <c r="E1" s="239"/>
      <c r="F1" s="239"/>
      <c r="G1" s="239"/>
    </row>
    <row r="2" spans="1:7" ht="15">
      <c r="A2" s="196" t="s">
        <v>82</v>
      </c>
      <c r="B2" s="196" t="s">
        <v>83</v>
      </c>
      <c r="C2" s="196" t="s">
        <v>87</v>
      </c>
      <c r="D2" s="196" t="s">
        <v>84</v>
      </c>
      <c r="E2" s="196" t="s">
        <v>85</v>
      </c>
      <c r="F2" s="197" t="s">
        <v>86</v>
      </c>
      <c r="G2" s="195" t="s">
        <v>93</v>
      </c>
    </row>
    <row r="3" spans="1:7" ht="15">
      <c r="A3" s="198"/>
      <c r="B3" s="206"/>
      <c r="C3" s="242" t="e">
        <f>+A3/B3/12</f>
        <v>#DIV/0!</v>
      </c>
      <c r="D3" s="196"/>
      <c r="E3" s="196"/>
      <c r="F3" s="199" t="e">
        <f>+A3/B3</f>
        <v>#DIV/0!</v>
      </c>
      <c r="G3" s="200" t="e">
        <f>+B3/B$19</f>
        <v>#DIV/0!</v>
      </c>
    </row>
    <row r="4" spans="1:7" ht="15">
      <c r="A4" s="201"/>
      <c r="B4" s="206"/>
      <c r="C4" s="242" t="e">
        <f aca="true" t="shared" si="0" ref="C4:C18">+A4/B4/12</f>
        <v>#DIV/0!</v>
      </c>
      <c r="D4" s="196"/>
      <c r="E4" s="196"/>
      <c r="F4" s="199" t="e">
        <f aca="true" t="shared" si="1" ref="F4:F18">+A4/B4</f>
        <v>#DIV/0!</v>
      </c>
      <c r="G4" s="200" t="e">
        <f aca="true" t="shared" si="2" ref="G4:G18">+B4/B$19</f>
        <v>#DIV/0!</v>
      </c>
    </row>
    <row r="5" spans="1:7" ht="15">
      <c r="A5" s="198"/>
      <c r="B5" s="207"/>
      <c r="C5" s="242" t="e">
        <f t="shared" si="0"/>
        <v>#DIV/0!</v>
      </c>
      <c r="D5" s="196"/>
      <c r="E5" s="196"/>
      <c r="F5" s="199" t="e">
        <f t="shared" si="1"/>
        <v>#DIV/0!</v>
      </c>
      <c r="G5" s="200" t="e">
        <f t="shared" si="2"/>
        <v>#DIV/0!</v>
      </c>
    </row>
    <row r="6" spans="1:7" ht="15">
      <c r="A6" s="201"/>
      <c r="B6" s="206"/>
      <c r="C6" s="230" t="e">
        <f t="shared" si="0"/>
        <v>#DIV/0!</v>
      </c>
      <c r="D6" s="196"/>
      <c r="E6" s="196"/>
      <c r="F6" s="199" t="e">
        <f t="shared" si="1"/>
        <v>#DIV/0!</v>
      </c>
      <c r="G6" s="200" t="e">
        <f t="shared" si="2"/>
        <v>#DIV/0!</v>
      </c>
    </row>
    <row r="7" spans="1:7" ht="15">
      <c r="A7" s="201"/>
      <c r="B7" s="206"/>
      <c r="C7" s="230" t="e">
        <f t="shared" si="0"/>
        <v>#DIV/0!</v>
      </c>
      <c r="D7" s="196"/>
      <c r="E7" s="196"/>
      <c r="F7" s="199" t="e">
        <f t="shared" si="1"/>
        <v>#DIV/0!</v>
      </c>
      <c r="G7" s="200" t="e">
        <f t="shared" si="2"/>
        <v>#DIV/0!</v>
      </c>
    </row>
    <row r="8" spans="1:7" ht="15">
      <c r="A8" s="201"/>
      <c r="B8" s="206"/>
      <c r="C8" s="230" t="e">
        <f t="shared" si="0"/>
        <v>#DIV/0!</v>
      </c>
      <c r="D8" s="196"/>
      <c r="E8" s="196"/>
      <c r="F8" s="199" t="e">
        <f t="shared" si="1"/>
        <v>#DIV/0!</v>
      </c>
      <c r="G8" s="200" t="e">
        <f t="shared" si="2"/>
        <v>#DIV/0!</v>
      </c>
    </row>
    <row r="9" spans="1:7" ht="15">
      <c r="A9" s="201"/>
      <c r="B9" s="206"/>
      <c r="C9" s="230" t="e">
        <f t="shared" si="0"/>
        <v>#DIV/0!</v>
      </c>
      <c r="D9" s="196"/>
      <c r="E9" s="196"/>
      <c r="F9" s="199" t="e">
        <f t="shared" si="1"/>
        <v>#DIV/0!</v>
      </c>
      <c r="G9" s="200" t="e">
        <f t="shared" si="2"/>
        <v>#DIV/0!</v>
      </c>
    </row>
    <row r="10" spans="1:7" ht="15">
      <c r="A10" s="201"/>
      <c r="B10" s="206"/>
      <c r="C10" s="230" t="e">
        <f t="shared" si="0"/>
        <v>#DIV/0!</v>
      </c>
      <c r="D10" s="196"/>
      <c r="E10" s="196"/>
      <c r="F10" s="199" t="e">
        <f t="shared" si="1"/>
        <v>#DIV/0!</v>
      </c>
      <c r="G10" s="200" t="e">
        <f t="shared" si="2"/>
        <v>#DIV/0!</v>
      </c>
    </row>
    <row r="11" spans="1:7" ht="15">
      <c r="A11" s="201"/>
      <c r="B11" s="206"/>
      <c r="C11" s="230" t="e">
        <f t="shared" si="0"/>
        <v>#DIV/0!</v>
      </c>
      <c r="D11" s="196"/>
      <c r="E11" s="196"/>
      <c r="F11" s="199" t="e">
        <f t="shared" si="1"/>
        <v>#DIV/0!</v>
      </c>
      <c r="G11" s="200" t="e">
        <f t="shared" si="2"/>
        <v>#DIV/0!</v>
      </c>
    </row>
    <row r="12" spans="1:7" ht="15">
      <c r="A12" s="201"/>
      <c r="B12" s="206"/>
      <c r="C12" s="230" t="e">
        <f t="shared" si="0"/>
        <v>#DIV/0!</v>
      </c>
      <c r="D12" s="196"/>
      <c r="E12" s="196"/>
      <c r="F12" s="199" t="e">
        <f t="shared" si="1"/>
        <v>#DIV/0!</v>
      </c>
      <c r="G12" s="200" t="e">
        <f t="shared" si="2"/>
        <v>#DIV/0!</v>
      </c>
    </row>
    <row r="13" spans="1:7" ht="15">
      <c r="A13" s="201"/>
      <c r="B13" s="206"/>
      <c r="C13" s="230" t="e">
        <f t="shared" si="0"/>
        <v>#DIV/0!</v>
      </c>
      <c r="D13" s="196"/>
      <c r="E13" s="196"/>
      <c r="F13" s="199" t="e">
        <f t="shared" si="1"/>
        <v>#DIV/0!</v>
      </c>
      <c r="G13" s="200" t="e">
        <f t="shared" si="2"/>
        <v>#DIV/0!</v>
      </c>
    </row>
    <row r="14" spans="1:7" ht="15">
      <c r="A14" s="201"/>
      <c r="B14" s="206"/>
      <c r="C14" s="230" t="e">
        <f t="shared" si="0"/>
        <v>#DIV/0!</v>
      </c>
      <c r="D14" s="196"/>
      <c r="E14" s="196"/>
      <c r="F14" s="199" t="e">
        <f t="shared" si="1"/>
        <v>#DIV/0!</v>
      </c>
      <c r="G14" s="200" t="e">
        <f t="shared" si="2"/>
        <v>#DIV/0!</v>
      </c>
    </row>
    <row r="15" spans="1:7" ht="15">
      <c r="A15" s="201"/>
      <c r="B15" s="206"/>
      <c r="C15" s="230" t="e">
        <f t="shared" si="0"/>
        <v>#DIV/0!</v>
      </c>
      <c r="D15" s="196"/>
      <c r="E15" s="196"/>
      <c r="F15" s="199" t="e">
        <f t="shared" si="1"/>
        <v>#DIV/0!</v>
      </c>
      <c r="G15" s="200" t="e">
        <f t="shared" si="2"/>
        <v>#DIV/0!</v>
      </c>
    </row>
    <row r="16" spans="1:7" ht="15">
      <c r="A16" s="201"/>
      <c r="B16" s="206"/>
      <c r="C16" s="230" t="e">
        <f t="shared" si="0"/>
        <v>#DIV/0!</v>
      </c>
      <c r="D16" s="196"/>
      <c r="E16" s="196"/>
      <c r="F16" s="199" t="e">
        <f t="shared" si="1"/>
        <v>#DIV/0!</v>
      </c>
      <c r="G16" s="200" t="e">
        <f t="shared" si="2"/>
        <v>#DIV/0!</v>
      </c>
    </row>
    <row r="17" spans="1:7" ht="15">
      <c r="A17" s="201"/>
      <c r="B17" s="206"/>
      <c r="C17" s="230" t="e">
        <f t="shared" si="0"/>
        <v>#DIV/0!</v>
      </c>
      <c r="D17" s="196"/>
      <c r="E17" s="196"/>
      <c r="F17" s="199" t="e">
        <f t="shared" si="1"/>
        <v>#DIV/0!</v>
      </c>
      <c r="G17" s="200" t="e">
        <f t="shared" si="2"/>
        <v>#DIV/0!</v>
      </c>
    </row>
    <row r="18" spans="1:7" ht="15">
      <c r="A18" s="201"/>
      <c r="B18" s="206"/>
      <c r="C18" s="230" t="e">
        <f t="shared" si="0"/>
        <v>#DIV/0!</v>
      </c>
      <c r="D18" s="196"/>
      <c r="E18" s="196"/>
      <c r="F18" s="199" t="e">
        <f t="shared" si="1"/>
        <v>#DIV/0!</v>
      </c>
      <c r="G18" s="200" t="e">
        <f t="shared" si="2"/>
        <v>#DIV/0!</v>
      </c>
    </row>
    <row r="19" spans="1:7" ht="15.75" thickBot="1">
      <c r="A19" s="202">
        <f>SUM(A3:A18)</f>
        <v>0</v>
      </c>
      <c r="B19" s="208">
        <f>SUM(B3:B18)</f>
        <v>0</v>
      </c>
      <c r="C19" s="231" t="e">
        <f>+A19/B19/12</f>
        <v>#DIV/0!</v>
      </c>
      <c r="F19" s="203" t="e">
        <f>ROUND(+A19/B19,2)</f>
        <v>#DIV/0!</v>
      </c>
      <c r="G19" s="232" t="e">
        <f>SUM(G3:G18)</f>
        <v>#DIV/0!</v>
      </c>
    </row>
    <row r="20" ht="15.75" thickTop="1"/>
    <row r="21" spans="1:7" ht="15">
      <c r="A21" s="240" t="s">
        <v>114</v>
      </c>
      <c r="B21" s="239"/>
      <c r="C21" s="239"/>
      <c r="D21" s="239"/>
      <c r="E21" s="239"/>
      <c r="F21" s="239"/>
      <c r="G21" s="239"/>
    </row>
    <row r="22" spans="1:6" ht="15">
      <c r="A22" s="196" t="s">
        <v>82</v>
      </c>
      <c r="B22" s="196" t="s">
        <v>83</v>
      </c>
      <c r="C22" s="196" t="s">
        <v>87</v>
      </c>
      <c r="D22" s="196" t="s">
        <v>84</v>
      </c>
      <c r="E22" s="196" t="s">
        <v>85</v>
      </c>
      <c r="F22" s="204"/>
    </row>
    <row r="23" spans="1:7" ht="15">
      <c r="A23" s="198"/>
      <c r="B23" s="206"/>
      <c r="C23" s="230" t="e">
        <f>+A23/B23/12</f>
        <v>#DIV/0!</v>
      </c>
      <c r="D23" s="196"/>
      <c r="E23" s="196"/>
      <c r="F23" s="199" t="e">
        <f>+A23/B23</f>
        <v>#DIV/0!</v>
      </c>
      <c r="G23" s="200" t="e">
        <f>+B23/B$39</f>
        <v>#DIV/0!</v>
      </c>
    </row>
    <row r="24" spans="1:7" ht="15">
      <c r="A24" s="201"/>
      <c r="B24" s="206"/>
      <c r="C24" s="230" t="e">
        <f aca="true" t="shared" si="3" ref="C24:C38">+A24/B24/12</f>
        <v>#DIV/0!</v>
      </c>
      <c r="D24" s="196"/>
      <c r="E24" s="196"/>
      <c r="F24" s="199" t="e">
        <f aca="true" t="shared" si="4" ref="F24:F38">+A24/B24</f>
        <v>#DIV/0!</v>
      </c>
      <c r="G24" s="200" t="e">
        <f aca="true" t="shared" si="5" ref="G24:G38">+B24/B$39</f>
        <v>#DIV/0!</v>
      </c>
    </row>
    <row r="25" spans="1:7" ht="15">
      <c r="A25" s="198"/>
      <c r="B25" s="207"/>
      <c r="C25" s="242" t="e">
        <f t="shared" si="3"/>
        <v>#DIV/0!</v>
      </c>
      <c r="D25" s="243"/>
      <c r="E25" s="243"/>
      <c r="F25" s="244" t="e">
        <f t="shared" si="4"/>
        <v>#DIV/0!</v>
      </c>
      <c r="G25" s="200" t="e">
        <f t="shared" si="5"/>
        <v>#DIV/0!</v>
      </c>
    </row>
    <row r="26" spans="1:7" ht="15">
      <c r="A26" s="201"/>
      <c r="B26" s="206"/>
      <c r="C26" s="230" t="e">
        <f t="shared" si="3"/>
        <v>#DIV/0!</v>
      </c>
      <c r="D26" s="196"/>
      <c r="E26" s="196"/>
      <c r="F26" s="199" t="e">
        <f t="shared" si="4"/>
        <v>#DIV/0!</v>
      </c>
      <c r="G26" s="200" t="e">
        <f t="shared" si="5"/>
        <v>#DIV/0!</v>
      </c>
    </row>
    <row r="27" spans="1:7" ht="15">
      <c r="A27" s="201"/>
      <c r="B27" s="206"/>
      <c r="C27" s="230" t="e">
        <f t="shared" si="3"/>
        <v>#DIV/0!</v>
      </c>
      <c r="D27" s="196"/>
      <c r="E27" s="196"/>
      <c r="F27" s="199" t="e">
        <f t="shared" si="4"/>
        <v>#DIV/0!</v>
      </c>
      <c r="G27" s="200" t="e">
        <f t="shared" si="5"/>
        <v>#DIV/0!</v>
      </c>
    </row>
    <row r="28" spans="1:7" ht="15">
      <c r="A28" s="201"/>
      <c r="B28" s="206"/>
      <c r="C28" s="230" t="e">
        <f t="shared" si="3"/>
        <v>#DIV/0!</v>
      </c>
      <c r="D28" s="196"/>
      <c r="E28" s="196"/>
      <c r="F28" s="199" t="e">
        <f t="shared" si="4"/>
        <v>#DIV/0!</v>
      </c>
      <c r="G28" s="200" t="e">
        <f t="shared" si="5"/>
        <v>#DIV/0!</v>
      </c>
    </row>
    <row r="29" spans="1:7" ht="15">
      <c r="A29" s="201"/>
      <c r="B29" s="206"/>
      <c r="C29" s="230" t="e">
        <f t="shared" si="3"/>
        <v>#DIV/0!</v>
      </c>
      <c r="D29" s="196"/>
      <c r="E29" s="196"/>
      <c r="F29" s="199" t="e">
        <f t="shared" si="4"/>
        <v>#DIV/0!</v>
      </c>
      <c r="G29" s="200" t="e">
        <f t="shared" si="5"/>
        <v>#DIV/0!</v>
      </c>
    </row>
    <row r="30" spans="1:7" ht="15">
      <c r="A30" s="201"/>
      <c r="B30" s="206"/>
      <c r="C30" s="230" t="e">
        <f t="shared" si="3"/>
        <v>#DIV/0!</v>
      </c>
      <c r="D30" s="196"/>
      <c r="E30" s="196"/>
      <c r="F30" s="199" t="e">
        <f t="shared" si="4"/>
        <v>#DIV/0!</v>
      </c>
      <c r="G30" s="200" t="e">
        <f t="shared" si="5"/>
        <v>#DIV/0!</v>
      </c>
    </row>
    <row r="31" spans="1:7" ht="15">
      <c r="A31" s="201"/>
      <c r="B31" s="206"/>
      <c r="C31" s="230" t="e">
        <f t="shared" si="3"/>
        <v>#DIV/0!</v>
      </c>
      <c r="D31" s="196"/>
      <c r="E31" s="196"/>
      <c r="F31" s="199" t="e">
        <f t="shared" si="4"/>
        <v>#DIV/0!</v>
      </c>
      <c r="G31" s="200" t="e">
        <f t="shared" si="5"/>
        <v>#DIV/0!</v>
      </c>
    </row>
    <row r="32" spans="1:7" ht="15">
      <c r="A32" s="201"/>
      <c r="B32" s="206"/>
      <c r="C32" s="230" t="e">
        <f t="shared" si="3"/>
        <v>#DIV/0!</v>
      </c>
      <c r="D32" s="196"/>
      <c r="E32" s="196"/>
      <c r="F32" s="199" t="e">
        <f t="shared" si="4"/>
        <v>#DIV/0!</v>
      </c>
      <c r="G32" s="200" t="e">
        <f t="shared" si="5"/>
        <v>#DIV/0!</v>
      </c>
    </row>
    <row r="33" spans="1:7" ht="15">
      <c r="A33" s="201"/>
      <c r="B33" s="206"/>
      <c r="C33" s="230" t="e">
        <f t="shared" si="3"/>
        <v>#DIV/0!</v>
      </c>
      <c r="D33" s="196"/>
      <c r="E33" s="196"/>
      <c r="F33" s="199" t="e">
        <f t="shared" si="4"/>
        <v>#DIV/0!</v>
      </c>
      <c r="G33" s="200" t="e">
        <f t="shared" si="5"/>
        <v>#DIV/0!</v>
      </c>
    </row>
    <row r="34" spans="1:7" ht="15">
      <c r="A34" s="201"/>
      <c r="B34" s="206"/>
      <c r="C34" s="230"/>
      <c r="D34" s="196"/>
      <c r="E34" s="196"/>
      <c r="F34" s="199"/>
      <c r="G34" s="200" t="e">
        <f t="shared" si="5"/>
        <v>#DIV/0!</v>
      </c>
    </row>
    <row r="35" spans="1:7" ht="15">
      <c r="A35" s="201"/>
      <c r="B35" s="206"/>
      <c r="C35" s="230"/>
      <c r="D35" s="196"/>
      <c r="E35" s="196"/>
      <c r="F35" s="199"/>
      <c r="G35" s="200" t="e">
        <f t="shared" si="5"/>
        <v>#DIV/0!</v>
      </c>
    </row>
    <row r="36" spans="1:7" ht="15">
      <c r="A36" s="201"/>
      <c r="B36" s="206"/>
      <c r="C36" s="230" t="e">
        <f t="shared" si="3"/>
        <v>#DIV/0!</v>
      </c>
      <c r="D36" s="196"/>
      <c r="E36" s="196"/>
      <c r="F36" s="199" t="e">
        <f t="shared" si="4"/>
        <v>#DIV/0!</v>
      </c>
      <c r="G36" s="200" t="e">
        <f t="shared" si="5"/>
        <v>#DIV/0!</v>
      </c>
    </row>
    <row r="37" spans="1:7" ht="15">
      <c r="A37" s="201"/>
      <c r="B37" s="206"/>
      <c r="C37" s="230" t="e">
        <f t="shared" si="3"/>
        <v>#DIV/0!</v>
      </c>
      <c r="D37" s="196"/>
      <c r="E37" s="196"/>
      <c r="F37" s="199" t="e">
        <f t="shared" si="4"/>
        <v>#DIV/0!</v>
      </c>
      <c r="G37" s="200" t="e">
        <f t="shared" si="5"/>
        <v>#DIV/0!</v>
      </c>
    </row>
    <row r="38" spans="1:7" ht="15">
      <c r="A38" s="201"/>
      <c r="B38" s="206"/>
      <c r="C38" s="230" t="e">
        <f t="shared" si="3"/>
        <v>#DIV/0!</v>
      </c>
      <c r="D38" s="196"/>
      <c r="E38" s="196"/>
      <c r="F38" s="199" t="e">
        <f t="shared" si="4"/>
        <v>#DIV/0!</v>
      </c>
      <c r="G38" s="200" t="e">
        <f t="shared" si="5"/>
        <v>#DIV/0!</v>
      </c>
    </row>
    <row r="39" spans="1:7" ht="15.75" thickBot="1">
      <c r="A39" s="202">
        <f>SUM(A23:A38)</f>
        <v>0</v>
      </c>
      <c r="B39" s="208">
        <f>SUM(B23:B38)</f>
        <v>0</v>
      </c>
      <c r="C39" s="231" t="e">
        <f>+A39/B39/12</f>
        <v>#DIV/0!</v>
      </c>
      <c r="F39" s="203" t="e">
        <f>+A39/B39</f>
        <v>#DIV/0!</v>
      </c>
      <c r="G39" s="232" t="e">
        <f>SUM(G23:G38)</f>
        <v>#DIV/0!</v>
      </c>
    </row>
    <row r="40" ht="15.75" thickTop="1">
      <c r="F40" s="2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9"/>
  <sheetViews>
    <sheetView zoomScalePageLayoutView="0" workbookViewId="0" topLeftCell="A41">
      <pane ySplit="1155" topLeftCell="A1" activePane="bottomLeft" state="split"/>
      <selection pane="topLeft" activeCell="D41" sqref="D41"/>
      <selection pane="bottomLeft" activeCell="B44" sqref="B44"/>
    </sheetView>
  </sheetViews>
  <sheetFormatPr defaultColWidth="9.140625" defaultRowHeight="12.75"/>
  <cols>
    <col min="1" max="1" width="3.28125" style="9" customWidth="1"/>
    <col min="2" max="2" width="48.7109375" style="0" customWidth="1"/>
    <col min="3" max="3" width="15.7109375" style="0" bestFit="1" customWidth="1"/>
    <col min="4" max="4" width="17.00390625" style="2" bestFit="1" customWidth="1"/>
    <col min="5" max="5" width="17.140625" style="9" bestFit="1" customWidth="1"/>
    <col min="6" max="6" width="6.8515625" style="35" bestFit="1" customWidth="1"/>
    <col min="8" max="8" width="11.28125" style="0" bestFit="1" customWidth="1"/>
  </cols>
  <sheetData>
    <row r="1" spans="1:6" s="8" customFormat="1" ht="26.25">
      <c r="A1" s="286" t="s">
        <v>116</v>
      </c>
      <c r="B1" s="286"/>
      <c r="C1" s="286"/>
      <c r="D1" s="286"/>
      <c r="E1" s="286"/>
      <c r="F1" s="37"/>
    </row>
    <row r="2" spans="1:6" s="6" customFormat="1" ht="20.25" customHeight="1">
      <c r="A2" s="5" t="s">
        <v>71</v>
      </c>
      <c r="B2" s="5"/>
      <c r="C2" s="5" t="s">
        <v>98</v>
      </c>
      <c r="D2" s="156" t="s">
        <v>0</v>
      </c>
      <c r="E2" s="157"/>
      <c r="F2" s="158"/>
    </row>
    <row r="3" spans="1:5" ht="23.25">
      <c r="A3" s="155" t="s">
        <v>18</v>
      </c>
      <c r="C3" s="67" t="s">
        <v>1</v>
      </c>
      <c r="D3" s="67" t="s">
        <v>20</v>
      </c>
      <c r="E3" s="67" t="s">
        <v>2</v>
      </c>
    </row>
    <row r="4" spans="1:5" ht="12.75">
      <c r="A4" s="9" t="s">
        <v>60</v>
      </c>
      <c r="C4" s="4"/>
      <c r="D4" s="4"/>
      <c r="E4" s="20"/>
    </row>
    <row r="5" spans="2:5" ht="12.75">
      <c r="B5" t="s">
        <v>27</v>
      </c>
      <c r="C5" s="86">
        <v>8500</v>
      </c>
      <c r="D5" s="27"/>
      <c r="E5" s="81">
        <f>+C5</f>
        <v>8500</v>
      </c>
    </row>
    <row r="6" spans="2:5" ht="12.75">
      <c r="B6" t="s">
        <v>26</v>
      </c>
      <c r="C6" s="86">
        <v>1000</v>
      </c>
      <c r="D6" s="27"/>
      <c r="E6" s="81">
        <f>+C6</f>
        <v>1000</v>
      </c>
    </row>
    <row r="7" spans="1:5" ht="12.75">
      <c r="A7" s="9" t="s">
        <v>5</v>
      </c>
      <c r="C7" s="13"/>
      <c r="D7" s="26"/>
      <c r="E7" s="81"/>
    </row>
    <row r="8" spans="2:5" ht="12.75">
      <c r="B8" t="s">
        <v>27</v>
      </c>
      <c r="C8" s="89">
        <v>0</v>
      </c>
      <c r="D8" s="181"/>
      <c r="E8" s="97">
        <f>SUM(C8:D8)</f>
        <v>0</v>
      </c>
    </row>
    <row r="9" spans="2:5" ht="12.75">
      <c r="B9" t="s">
        <v>26</v>
      </c>
      <c r="C9" s="89">
        <v>0.02</v>
      </c>
      <c r="D9" s="182"/>
      <c r="E9" s="97">
        <f>SUM(C9:D9)</f>
        <v>0.02</v>
      </c>
    </row>
    <row r="10" spans="1:5" ht="12.75">
      <c r="A10" s="9" t="s">
        <v>6</v>
      </c>
      <c r="C10" s="12"/>
      <c r="D10" s="19"/>
      <c r="E10" s="98"/>
    </row>
    <row r="11" spans="2:5" ht="12.75">
      <c r="B11" t="s">
        <v>27</v>
      </c>
      <c r="C11" s="89">
        <v>0</v>
      </c>
      <c r="D11" s="182"/>
      <c r="E11" s="97">
        <f>SUM(C11:D11)</f>
        <v>0</v>
      </c>
    </row>
    <row r="12" spans="2:5" ht="12.75">
      <c r="B12" t="s">
        <v>26</v>
      </c>
      <c r="C12" s="89">
        <v>-0.02</v>
      </c>
      <c r="D12" s="43"/>
      <c r="E12" s="97">
        <f>SUM(C12:D12)</f>
        <v>-0.02</v>
      </c>
    </row>
    <row r="13" spans="1:5" ht="12.75">
      <c r="A13" s="9" t="s">
        <v>61</v>
      </c>
      <c r="C13" s="23"/>
      <c r="D13" s="18"/>
      <c r="E13" s="96"/>
    </row>
    <row r="14" spans="2:5" ht="15">
      <c r="B14" t="s">
        <v>27</v>
      </c>
      <c r="C14" s="83">
        <f>+C5</f>
        <v>8500</v>
      </c>
      <c r="D14" s="153">
        <f>+E14-C14</f>
        <v>0</v>
      </c>
      <c r="E14" s="99">
        <f>+E5*(1+E8+E11)</f>
        <v>8500</v>
      </c>
    </row>
    <row r="15" spans="2:5" ht="15">
      <c r="B15" t="s">
        <v>26</v>
      </c>
      <c r="C15" s="83">
        <f>+C6</f>
        <v>1000</v>
      </c>
      <c r="D15" s="153">
        <f>+E15-C15</f>
        <v>0</v>
      </c>
      <c r="E15" s="99">
        <f>+E6*(1+E9+E12)</f>
        <v>1000</v>
      </c>
    </row>
    <row r="16" spans="1:5" ht="12.75" hidden="1">
      <c r="A16" s="9" t="s">
        <v>7</v>
      </c>
      <c r="C16" s="12"/>
      <c r="E16" s="98"/>
    </row>
    <row r="17" spans="2:5" ht="12.75" hidden="1">
      <c r="B17" t="s">
        <v>27</v>
      </c>
      <c r="C17" s="85">
        <v>1</v>
      </c>
      <c r="D17" s="44">
        <v>0</v>
      </c>
      <c r="E17" s="100">
        <f>SUM(C17:D17)</f>
        <v>1</v>
      </c>
    </row>
    <row r="18" spans="2:5" ht="12.75" hidden="1">
      <c r="B18" t="s">
        <v>26</v>
      </c>
      <c r="C18" s="85">
        <v>1</v>
      </c>
      <c r="D18" s="45"/>
      <c r="E18" s="101">
        <f>SUM(C18:D18)</f>
        <v>1</v>
      </c>
    </row>
    <row r="19" spans="1:5" ht="12.75" hidden="1">
      <c r="A19" s="9" t="s">
        <v>9</v>
      </c>
      <c r="C19" s="24"/>
      <c r="D19" s="24" t="s">
        <v>50</v>
      </c>
      <c r="E19" s="102"/>
    </row>
    <row r="20" spans="2:5" ht="12.75" hidden="1">
      <c r="B20" t="s">
        <v>27</v>
      </c>
      <c r="C20" s="90">
        <v>1</v>
      </c>
      <c r="D20" s="138"/>
      <c r="E20" s="150">
        <f>SUM(C20:D20)</f>
        <v>1</v>
      </c>
    </row>
    <row r="21" spans="2:5" ht="12.75" hidden="1">
      <c r="B21" t="s">
        <v>26</v>
      </c>
      <c r="C21" s="90">
        <v>1</v>
      </c>
      <c r="D21" s="46"/>
      <c r="E21" s="150">
        <f>SUM(C21:D21)</f>
        <v>1</v>
      </c>
    </row>
    <row r="22" spans="1:5" ht="12.75">
      <c r="A22" s="9" t="s">
        <v>10</v>
      </c>
      <c r="C22" s="12"/>
      <c r="D22" s="19"/>
      <c r="E22" s="98"/>
    </row>
    <row r="23" spans="2:5" ht="12.75">
      <c r="B23" t="s">
        <v>27</v>
      </c>
      <c r="C23" s="91">
        <v>240</v>
      </c>
      <c r="D23" s="47"/>
      <c r="E23" s="103">
        <f>SUM(C23:D23)</f>
        <v>240</v>
      </c>
    </row>
    <row r="24" spans="2:5" ht="12.75">
      <c r="B24" t="s">
        <v>26</v>
      </c>
      <c r="C24" s="91" t="e">
        <f>+(#REF!+'Sample data Club'!C35+'Sample data E-commerce'!C26)/(#REF!+'Sample data Club'!H35+'Sample data E-commerce'!H25)</f>
        <v>#REF!</v>
      </c>
      <c r="D24" s="47"/>
      <c r="E24" s="103" t="e">
        <f>SUM(C24:D24)</f>
        <v>#REF!</v>
      </c>
    </row>
    <row r="25" spans="1:5" ht="16.5" customHeight="1">
      <c r="A25" s="9" t="s">
        <v>21</v>
      </c>
      <c r="C25" s="12"/>
      <c r="E25" s="98"/>
    </row>
    <row r="26" spans="2:5" ht="12.75">
      <c r="B26" t="s">
        <v>27</v>
      </c>
      <c r="C26" s="82">
        <v>0.57</v>
      </c>
      <c r="D26" s="48"/>
      <c r="E26" s="104">
        <f>SUM(C26:D26)</f>
        <v>0.57</v>
      </c>
    </row>
    <row r="27" spans="2:5" ht="12.75">
      <c r="B27" t="s">
        <v>26</v>
      </c>
      <c r="C27" s="82">
        <v>0.3</v>
      </c>
      <c r="D27" s="48"/>
      <c r="E27" s="104">
        <f>SUM(C27:D27)</f>
        <v>0.3</v>
      </c>
    </row>
    <row r="28" spans="1:5" ht="13.5" customHeight="1">
      <c r="A28" s="9" t="s">
        <v>12</v>
      </c>
      <c r="C28" s="91">
        <v>673420</v>
      </c>
      <c r="D28" s="183"/>
      <c r="E28" s="103">
        <f>+C28+D28</f>
        <v>673420</v>
      </c>
    </row>
    <row r="29" spans="1:5" ht="13.5" customHeight="1">
      <c r="A29" s="9" t="s">
        <v>13</v>
      </c>
      <c r="C29" s="91">
        <v>250000</v>
      </c>
      <c r="D29" s="183"/>
      <c r="E29" s="103">
        <f>SUM(C29:D29)</f>
        <v>250000</v>
      </c>
    </row>
    <row r="30" spans="1:6" ht="27" customHeight="1" thickBot="1">
      <c r="A30" s="287" t="s">
        <v>19</v>
      </c>
      <c r="B30" s="287"/>
      <c r="C30" s="287"/>
      <c r="D30" s="287"/>
      <c r="E30" s="287"/>
      <c r="F30" s="41"/>
    </row>
    <row r="31" spans="1:5" ht="24" customHeight="1" hidden="1">
      <c r="A31" s="3" t="s">
        <v>15</v>
      </c>
      <c r="C31" s="17"/>
      <c r="D31" s="17"/>
      <c r="E31" s="22"/>
    </row>
    <row r="32" spans="1:6" ht="12.75" hidden="1">
      <c r="A32" s="3"/>
      <c r="B32" t="s">
        <v>27</v>
      </c>
      <c r="C32" s="92">
        <f>+C14*C17*C20*C23</f>
        <v>2040000</v>
      </c>
      <c r="D32" s="69">
        <f>E32-C32</f>
        <v>0</v>
      </c>
      <c r="E32" s="71">
        <f>+E14*E17*E20*E23</f>
        <v>2040000</v>
      </c>
      <c r="F32" s="35" t="e">
        <f>+E32/E34</f>
        <v>#REF!</v>
      </c>
    </row>
    <row r="33" spans="1:8" ht="12.75" hidden="1">
      <c r="A33" s="3"/>
      <c r="B33" t="s">
        <v>26</v>
      </c>
      <c r="C33" s="93" t="e">
        <f>+C15*C18*C21*C24</f>
        <v>#REF!</v>
      </c>
      <c r="D33" s="69" t="e">
        <f>E33-C33</f>
        <v>#REF!</v>
      </c>
      <c r="E33" s="71" t="e">
        <f>+E15*E18*E21*E24</f>
        <v>#REF!</v>
      </c>
      <c r="F33" s="39" t="e">
        <f>+E33/E34</f>
        <v>#REF!</v>
      </c>
      <c r="H33" s="11"/>
    </row>
    <row r="34" spans="2:6" ht="12.75" hidden="1">
      <c r="B34" s="14" t="s">
        <v>14</v>
      </c>
      <c r="C34" s="31" t="e">
        <f>ROUND(SUM(C32:C33),0)</f>
        <v>#REF!</v>
      </c>
      <c r="D34" s="105" t="e">
        <f>E34-C34</f>
        <v>#REF!</v>
      </c>
      <c r="E34" s="105" t="e">
        <f>ROUND(SUM(E32:E33),0)</f>
        <v>#REF!</v>
      </c>
      <c r="F34" s="35" t="e">
        <f>+F32+F33</f>
        <v>#REF!</v>
      </c>
    </row>
    <row r="35" spans="2:6" ht="12.75" hidden="1">
      <c r="B35" t="s">
        <v>16</v>
      </c>
      <c r="C35" s="32" t="e">
        <f>(C32*C26)+(C33*C27)</f>
        <v>#REF!</v>
      </c>
      <c r="D35" s="72" t="e">
        <f>E35-C35</f>
        <v>#REF!</v>
      </c>
      <c r="E35" s="105" t="e">
        <f>(E32*E26)+(E33*E27)</f>
        <v>#REF!</v>
      </c>
      <c r="F35" s="39" t="e">
        <f>+E35/E34</f>
        <v>#REF!</v>
      </c>
    </row>
    <row r="36" spans="2:6" ht="18.75" customHeight="1" hidden="1">
      <c r="B36" s="14" t="s">
        <v>23</v>
      </c>
      <c r="C36" s="30" t="e">
        <f>C34-C35</f>
        <v>#REF!</v>
      </c>
      <c r="D36" s="30" t="e">
        <f>E36-C36</f>
        <v>#REF!</v>
      </c>
      <c r="E36" s="30" t="e">
        <f>E34-E35</f>
        <v>#REF!</v>
      </c>
      <c r="F36" s="35" t="e">
        <f>+E36/E34</f>
        <v>#REF!</v>
      </c>
    </row>
    <row r="37" spans="1:5" ht="13.5" customHeight="1" hidden="1">
      <c r="A37" s="9" t="s">
        <v>12</v>
      </c>
      <c r="C37" s="25"/>
      <c r="D37" s="107"/>
      <c r="E37" s="71"/>
    </row>
    <row r="38" spans="2:6" ht="13.5" customHeight="1" hidden="1">
      <c r="B38" t="s">
        <v>22</v>
      </c>
      <c r="C38" s="68">
        <f>923420-250000</f>
        <v>673420</v>
      </c>
      <c r="D38" s="69">
        <f>E38-C38</f>
        <v>0</v>
      </c>
      <c r="E38" s="71">
        <f>+E28</f>
        <v>673420</v>
      </c>
      <c r="F38" s="35" t="e">
        <f>+E38/E34</f>
        <v>#REF!</v>
      </c>
    </row>
    <row r="39" spans="2:6" ht="12.75" hidden="1">
      <c r="B39" s="12" t="s">
        <v>13</v>
      </c>
      <c r="C39" s="68">
        <f>+C29</f>
        <v>250000</v>
      </c>
      <c r="D39" s="72">
        <f>E39-C39</f>
        <v>0</v>
      </c>
      <c r="E39" s="71">
        <f>+E29</f>
        <v>250000</v>
      </c>
      <c r="F39" s="35" t="e">
        <f>+E39/E34</f>
        <v>#REF!</v>
      </c>
    </row>
    <row r="40" spans="1:9" ht="20.25" customHeight="1" hidden="1">
      <c r="A40" s="9" t="s">
        <v>4</v>
      </c>
      <c r="B40" s="15" t="s">
        <v>17</v>
      </c>
      <c r="C40" s="30">
        <f>SUM(C38:C39)</f>
        <v>923420</v>
      </c>
      <c r="D40" s="106">
        <f>SUM(D38:D39)</f>
        <v>0</v>
      </c>
      <c r="E40" s="94">
        <f>SUM(E38:E39)</f>
        <v>923420</v>
      </c>
      <c r="I40" s="154"/>
    </row>
    <row r="41" spans="1:6" s="6" customFormat="1" ht="26.25" customHeight="1" thickBot="1">
      <c r="A41" s="5" t="s">
        <v>15</v>
      </c>
      <c r="B41" s="5"/>
      <c r="C41" s="95" t="e">
        <f>+C36-C40</f>
        <v>#REF!</v>
      </c>
      <c r="D41" s="177" t="e">
        <f>+D36-D40</f>
        <v>#REF!</v>
      </c>
      <c r="E41" s="95" t="e">
        <f>+E36-E40</f>
        <v>#REF!</v>
      </c>
      <c r="F41" s="36" t="e">
        <f>+E41/E34</f>
        <v>#REF!</v>
      </c>
    </row>
    <row r="42" spans="1:6" s="6" customFormat="1" ht="18.75" thickTop="1">
      <c r="A42" s="5"/>
      <c r="B42" s="5"/>
      <c r="C42" s="34"/>
      <c r="D42" s="178" t="e">
        <f>+D41/C41</f>
        <v>#REF!</v>
      </c>
      <c r="E42" s="42" t="s">
        <v>29</v>
      </c>
      <c r="F42" s="36">
        <v>0.15</v>
      </c>
    </row>
    <row r="43" spans="1:6" ht="31.5" customHeight="1" thickBot="1">
      <c r="A43" s="288" t="s">
        <v>25</v>
      </c>
      <c r="B43" s="287"/>
      <c r="C43" s="287"/>
      <c r="D43" s="287"/>
      <c r="E43" s="287"/>
      <c r="F43" s="287"/>
    </row>
    <row r="44" spans="1:6" ht="18.75" customHeight="1">
      <c r="A44" s="40"/>
      <c r="B44" s="40"/>
      <c r="C44" s="40"/>
      <c r="D44" s="40"/>
      <c r="E44" s="40"/>
      <c r="F44" s="40"/>
    </row>
    <row r="45" spans="2:5" ht="12.75">
      <c r="B45" t="s">
        <v>27</v>
      </c>
      <c r="C45" s="108">
        <f>+C14*C17*C20</f>
        <v>8500</v>
      </c>
      <c r="D45" s="28"/>
      <c r="E45" s="108">
        <f>+E14*E17*E20</f>
        <v>8500</v>
      </c>
    </row>
    <row r="46" spans="2:5" ht="12.75">
      <c r="B46" t="s">
        <v>26</v>
      </c>
      <c r="C46" s="108">
        <f>+C15*C18*C21</f>
        <v>1000</v>
      </c>
      <c r="D46" s="28"/>
      <c r="E46" s="108">
        <f>+E15*E18*E21</f>
        <v>1000</v>
      </c>
    </row>
    <row r="47" spans="2:5" ht="12.75">
      <c r="B47" t="s">
        <v>24</v>
      </c>
      <c r="C47" s="108">
        <f>(+C46+C45)*0.02</f>
        <v>190</v>
      </c>
      <c r="D47" s="28"/>
      <c r="E47" s="108">
        <f>(+E46+E45)*0.02</f>
        <v>190</v>
      </c>
    </row>
    <row r="48" spans="2:6" s="9" customFormat="1" ht="18" customHeight="1" thickBot="1">
      <c r="B48" s="9" t="s">
        <v>11</v>
      </c>
      <c r="C48" s="33">
        <f>SUM(C45:C47)</f>
        <v>9690</v>
      </c>
      <c r="D48" s="21"/>
      <c r="E48" s="33">
        <f>SUM(E45:E47)</f>
        <v>9690</v>
      </c>
      <c r="F48" s="38"/>
    </row>
    <row r="49" spans="3:4" ht="13.5" thickTop="1">
      <c r="C49" s="11"/>
      <c r="D49" s="10"/>
    </row>
    <row r="68" ht="12.75"/>
    <row r="69" ht="12.75"/>
  </sheetData>
  <sheetProtection/>
  <mergeCells count="3">
    <mergeCell ref="A1:E1"/>
    <mergeCell ref="A30:E30"/>
    <mergeCell ref="A43:F43"/>
  </mergeCells>
  <conditionalFormatting sqref="D14:D15">
    <cfRule type="aboveAverage" priority="1" dxfId="0">
      <formula>D14&gt;AVERAGE(IF(ISERROR($D$14:$D$15),"",IF(ISBLANK($D$14:$D$15),"",$D$14:$D$15)))</formula>
    </cfRule>
  </conditionalFormatting>
  <printOptions horizontalCentered="1"/>
  <pageMargins left="0.75" right="0.25" top="0.28" bottom="0.44" header="0.44" footer="0.17"/>
  <pageSetup cellComments="asDisplayed" fitToHeight="1" fitToWidth="1" horizontalDpi="600" verticalDpi="600" orientation="landscape" r:id="rId3"/>
  <headerFooter alignWithMargins="0">
    <oddFooter>&amp;LProfit Equation Planner - Wineries&amp;CCopyright: Brotemarkle, Davis &amp; Co. LLP
707.963.4466&amp;Rwww.bdcocpa.com 
&amp;D  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0"/>
  <sheetViews>
    <sheetView zoomScalePageLayoutView="0" workbookViewId="0" topLeftCell="A42">
      <pane ySplit="1185" topLeftCell="A1" activePane="bottomLeft" state="split"/>
      <selection pane="topLeft" activeCell="A42" sqref="A42"/>
      <selection pane="bottomLeft" activeCell="A1" sqref="A1:E1"/>
    </sheetView>
  </sheetViews>
  <sheetFormatPr defaultColWidth="9.140625" defaultRowHeight="12.75"/>
  <cols>
    <col min="1" max="1" width="3.28125" style="9" customWidth="1"/>
    <col min="2" max="2" width="48.7109375" style="0" customWidth="1"/>
    <col min="3" max="3" width="15.7109375" style="0" bestFit="1" customWidth="1"/>
    <col min="4" max="4" width="17.00390625" style="2" bestFit="1" customWidth="1"/>
    <col min="5" max="5" width="17.140625" style="9" bestFit="1" customWidth="1"/>
    <col min="6" max="6" width="8.28125" style="35" bestFit="1" customWidth="1"/>
    <col min="8" max="8" width="10.28125" style="0" bestFit="1" customWidth="1"/>
    <col min="9" max="9" width="17.00390625" style="0" bestFit="1" customWidth="1"/>
  </cols>
  <sheetData>
    <row r="1" spans="1:6" s="8" customFormat="1" ht="26.25">
      <c r="A1" s="283" t="s">
        <v>72</v>
      </c>
      <c r="B1" s="283"/>
      <c r="C1" s="283"/>
      <c r="D1" s="283"/>
      <c r="E1" s="283"/>
      <c r="F1" s="37"/>
    </row>
    <row r="2" spans="1:5" ht="21" customHeight="1">
      <c r="A2" s="5" t="s">
        <v>53</v>
      </c>
      <c r="C2" s="3"/>
      <c r="D2" s="156" t="s">
        <v>0</v>
      </c>
      <c r="E2" s="1"/>
    </row>
    <row r="3" spans="1:5" ht="23.25">
      <c r="A3" s="155" t="s">
        <v>18</v>
      </c>
      <c r="C3" s="67" t="s">
        <v>1</v>
      </c>
      <c r="D3" s="67" t="s">
        <v>20</v>
      </c>
      <c r="E3" s="67" t="s">
        <v>2</v>
      </c>
    </row>
    <row r="4" spans="3:5" ht="12.75">
      <c r="C4" s="16"/>
      <c r="D4" s="16"/>
      <c r="E4" s="16"/>
    </row>
    <row r="5" spans="1:5" ht="12.75">
      <c r="A5" s="9" t="s">
        <v>3</v>
      </c>
      <c r="C5" s="4"/>
      <c r="D5" s="4"/>
      <c r="E5" s="20"/>
    </row>
    <row r="6" spans="2:5" ht="12.75">
      <c r="B6" s="12" t="s">
        <v>62</v>
      </c>
      <c r="C6" s="86">
        <v>100</v>
      </c>
      <c r="D6" s="27"/>
      <c r="E6" s="114">
        <f>+C6</f>
        <v>100</v>
      </c>
    </row>
    <row r="7" spans="2:5" ht="12.75">
      <c r="B7" s="12" t="s">
        <v>55</v>
      </c>
      <c r="C7" s="86">
        <v>300</v>
      </c>
      <c r="D7" s="27"/>
      <c r="E7" s="114">
        <f>+C7</f>
        <v>300</v>
      </c>
    </row>
    <row r="8" spans="1:5" ht="12.75">
      <c r="A8" s="9" t="s">
        <v>5</v>
      </c>
      <c r="C8" s="13"/>
      <c r="D8" s="26"/>
      <c r="E8" s="114"/>
    </row>
    <row r="9" spans="2:5" ht="12.75">
      <c r="B9" t="s">
        <v>62</v>
      </c>
      <c r="C9" s="89">
        <v>0</v>
      </c>
      <c r="D9" s="43"/>
      <c r="E9" s="115">
        <f>SUM(C9:D9)</f>
        <v>0</v>
      </c>
    </row>
    <row r="10" spans="2:5" ht="12.75">
      <c r="B10" t="s">
        <v>55</v>
      </c>
      <c r="C10" s="89">
        <v>0.02</v>
      </c>
      <c r="D10" s="43"/>
      <c r="E10" s="115">
        <f>SUM(C10:D10)</f>
        <v>0.02</v>
      </c>
    </row>
    <row r="11" spans="1:5" ht="12.75">
      <c r="A11" s="9" t="s">
        <v>6</v>
      </c>
      <c r="C11" s="12"/>
      <c r="D11" s="19"/>
      <c r="E11" s="116"/>
    </row>
    <row r="12" spans="2:5" ht="12.75">
      <c r="B12" t="s">
        <v>62</v>
      </c>
      <c r="C12" s="89">
        <v>0</v>
      </c>
      <c r="D12" s="43"/>
      <c r="E12" s="115">
        <f>SUM(C12:D12)</f>
        <v>0</v>
      </c>
    </row>
    <row r="13" spans="2:5" ht="12.75">
      <c r="B13" t="s">
        <v>55</v>
      </c>
      <c r="C13" s="89">
        <v>-0.02</v>
      </c>
      <c r="D13" s="43"/>
      <c r="E13" s="115">
        <f>SUM(C13:D13)</f>
        <v>-0.02</v>
      </c>
    </row>
    <row r="14" spans="1:5" ht="12.75">
      <c r="A14" s="9" t="s">
        <v>8</v>
      </c>
      <c r="C14" s="23"/>
      <c r="D14" s="18"/>
      <c r="E14" s="117"/>
    </row>
    <row r="15" spans="2:5" ht="15">
      <c r="B15" t="s">
        <v>62</v>
      </c>
      <c r="C15" s="124">
        <f>+C6</f>
        <v>100</v>
      </c>
      <c r="D15" s="153">
        <f>+E15-C15</f>
        <v>0</v>
      </c>
      <c r="E15" s="118">
        <f>+E6*(1+E9+E12)</f>
        <v>100</v>
      </c>
    </row>
    <row r="16" spans="2:5" ht="15">
      <c r="B16" t="s">
        <v>55</v>
      </c>
      <c r="C16" s="124">
        <f>+C7</f>
        <v>300</v>
      </c>
      <c r="D16" s="153">
        <f>+E16-C16</f>
        <v>0</v>
      </c>
      <c r="E16" s="118">
        <f>+E7*(1+E10+E13)</f>
        <v>300</v>
      </c>
    </row>
    <row r="17" spans="1:5" ht="12.75">
      <c r="A17" s="9" t="s">
        <v>7</v>
      </c>
      <c r="C17" s="12"/>
      <c r="E17" s="116"/>
    </row>
    <row r="18" spans="2:5" ht="12.75">
      <c r="B18" t="s">
        <v>62</v>
      </c>
      <c r="C18" s="85">
        <v>6</v>
      </c>
      <c r="D18" s="44"/>
      <c r="E18" s="119">
        <f>SUM(C18:D18)</f>
        <v>6</v>
      </c>
    </row>
    <row r="19" spans="2:5" ht="12.75">
      <c r="B19" t="s">
        <v>55</v>
      </c>
      <c r="C19" s="85">
        <v>2</v>
      </c>
      <c r="D19" s="45"/>
      <c r="E19" s="120">
        <f>SUM(C19:D19)</f>
        <v>2</v>
      </c>
    </row>
    <row r="20" spans="1:5" ht="12.75">
      <c r="A20" s="9" t="s">
        <v>9</v>
      </c>
      <c r="C20" s="24"/>
      <c r="D20" s="24"/>
      <c r="E20" s="121"/>
    </row>
    <row r="21" spans="2:5" ht="12.75">
      <c r="B21" t="s">
        <v>74</v>
      </c>
      <c r="C21" s="134">
        <v>0.5</v>
      </c>
      <c r="D21" s="44"/>
      <c r="E21" s="140">
        <f>SUM(C21:D21)</f>
        <v>0.5</v>
      </c>
    </row>
    <row r="22" spans="2:5" ht="12.75">
      <c r="B22" t="s">
        <v>73</v>
      </c>
      <c r="C22" s="134">
        <v>0.25</v>
      </c>
      <c r="D22" s="139"/>
      <c r="E22" s="140">
        <f>SUM(C22:D22)</f>
        <v>0.25</v>
      </c>
    </row>
    <row r="23" spans="1:5" ht="12.75">
      <c r="A23" s="9" t="s">
        <v>10</v>
      </c>
      <c r="C23" s="12"/>
      <c r="D23" s="19"/>
      <c r="E23" s="116"/>
    </row>
    <row r="24" spans="2:5" ht="12.75">
      <c r="B24" s="12" t="s">
        <v>63</v>
      </c>
      <c r="C24" s="91">
        <v>576</v>
      </c>
      <c r="D24" s="47"/>
      <c r="E24" s="122">
        <f>SUM(C24:D24)</f>
        <v>576</v>
      </c>
    </row>
    <row r="25" spans="2:5" ht="12.75">
      <c r="B25" s="12" t="s">
        <v>56</v>
      </c>
      <c r="C25" s="91">
        <v>216</v>
      </c>
      <c r="D25" s="47"/>
      <c r="E25" s="122">
        <f>SUM(C25:D25)</f>
        <v>216</v>
      </c>
    </row>
    <row r="26" spans="1:9" ht="16.5" customHeight="1">
      <c r="A26" s="9" t="s">
        <v>21</v>
      </c>
      <c r="C26" s="12"/>
      <c r="E26" s="116"/>
      <c r="H26" s="136" t="s">
        <v>59</v>
      </c>
      <c r="I26" s="136"/>
    </row>
    <row r="27" spans="2:9" ht="12.75">
      <c r="B27" t="s">
        <v>62</v>
      </c>
      <c r="C27" s="141">
        <v>288</v>
      </c>
      <c r="D27" s="48"/>
      <c r="E27" s="140">
        <f>SUM(C27:D27)</f>
        <v>288</v>
      </c>
      <c r="H27" s="111">
        <v>288</v>
      </c>
      <c r="I27" s="137" t="s">
        <v>57</v>
      </c>
    </row>
    <row r="28" spans="2:9" ht="12.75">
      <c r="B28" t="s">
        <v>55</v>
      </c>
      <c r="C28" s="141">
        <v>72</v>
      </c>
      <c r="D28" s="48"/>
      <c r="E28" s="140">
        <f>SUM(C28:D28)</f>
        <v>72</v>
      </c>
      <c r="H28" s="111">
        <v>72</v>
      </c>
      <c r="I28" s="137" t="s">
        <v>58</v>
      </c>
    </row>
    <row r="29" spans="1:5" ht="13.5" customHeight="1">
      <c r="A29" s="9" t="s">
        <v>28</v>
      </c>
      <c r="C29" s="82">
        <v>0.07</v>
      </c>
      <c r="D29" s="48"/>
      <c r="E29" s="123">
        <f>SUM(C29:D29)</f>
        <v>0.07</v>
      </c>
    </row>
    <row r="30" spans="1:5" ht="13.5" customHeight="1">
      <c r="A30" s="9" t="s">
        <v>13</v>
      </c>
      <c r="C30" s="91">
        <v>25000</v>
      </c>
      <c r="D30" s="49"/>
      <c r="E30" s="114">
        <f>SUM(C30:D30)</f>
        <v>25000</v>
      </c>
    </row>
    <row r="31" spans="1:6" ht="27" customHeight="1" thickBot="1">
      <c r="A31" s="287" t="s">
        <v>19</v>
      </c>
      <c r="B31" s="287"/>
      <c r="C31" s="287"/>
      <c r="D31" s="287"/>
      <c r="E31" s="287"/>
      <c r="F31" s="41"/>
    </row>
    <row r="32" spans="1:10" ht="24" customHeight="1">
      <c r="A32" s="3" t="s">
        <v>15</v>
      </c>
      <c r="C32" s="17"/>
      <c r="D32" s="17"/>
      <c r="E32" s="22"/>
      <c r="H32" s="110" t="s">
        <v>64</v>
      </c>
      <c r="I32" s="110" t="s">
        <v>65</v>
      </c>
      <c r="J32" s="109"/>
    </row>
    <row r="33" spans="1:10" ht="12.75">
      <c r="A33" s="3"/>
      <c r="B33" t="s">
        <v>62</v>
      </c>
      <c r="C33" s="125">
        <f>+C15*C18*C21*C24</f>
        <v>172800</v>
      </c>
      <c r="D33" s="126">
        <f>E33-C33</f>
        <v>0</v>
      </c>
      <c r="E33" s="127">
        <f>+E15*E18*E21*E24</f>
        <v>172800</v>
      </c>
      <c r="F33" s="35">
        <f>+E33/E35</f>
        <v>0.8421052631578947</v>
      </c>
      <c r="H33" s="109">
        <f>+C15*C18*C21</f>
        <v>300</v>
      </c>
      <c r="I33" s="109"/>
      <c r="J33" s="109"/>
    </row>
    <row r="34" spans="1:10" ht="12.75">
      <c r="A34" s="3"/>
      <c r="B34" t="s">
        <v>55</v>
      </c>
      <c r="C34" s="129">
        <f>+C16*C19*C22*C25</f>
        <v>32400</v>
      </c>
      <c r="D34" s="126">
        <f>E34-C34</f>
        <v>0</v>
      </c>
      <c r="E34" s="129">
        <f>+E16*E19*E22*E25</f>
        <v>32400</v>
      </c>
      <c r="F34" s="39">
        <f>+E34/E35</f>
        <v>0.15789473684210525</v>
      </c>
      <c r="H34" s="109">
        <f>+C19*C22*C16</f>
        <v>150</v>
      </c>
      <c r="I34" s="109"/>
      <c r="J34" s="109"/>
    </row>
    <row r="35" spans="2:10" ht="13.5" thickBot="1">
      <c r="B35" s="14" t="s">
        <v>14</v>
      </c>
      <c r="C35" s="151">
        <f>ROUND(SUM(C33:C34),0)</f>
        <v>205200</v>
      </c>
      <c r="D35" s="151">
        <f>E35-C35</f>
        <v>0</v>
      </c>
      <c r="E35" s="151">
        <f>ROUND(SUM(E33:E34),0)</f>
        <v>205200</v>
      </c>
      <c r="F35" s="35">
        <f>+F33+F34</f>
        <v>1</v>
      </c>
      <c r="H35" s="152">
        <f>SUM(H33:H34)</f>
        <v>450</v>
      </c>
      <c r="I35" s="111">
        <f>+C35/H35</f>
        <v>456</v>
      </c>
      <c r="J35" s="109"/>
    </row>
    <row r="36" spans="2:6" ht="13.5" thickTop="1">
      <c r="B36" t="s">
        <v>16</v>
      </c>
      <c r="C36" s="32">
        <v>0</v>
      </c>
      <c r="D36" s="32">
        <f>E36-C36</f>
        <v>0</v>
      </c>
      <c r="E36" s="32"/>
      <c r="F36" s="39">
        <f>+E36/E35</f>
        <v>0</v>
      </c>
    </row>
    <row r="37" spans="2:6" ht="18.75" customHeight="1">
      <c r="B37" s="14" t="s">
        <v>23</v>
      </c>
      <c r="C37" s="30">
        <f>C35-C36</f>
        <v>205200</v>
      </c>
      <c r="D37" s="30">
        <f>E37-C37</f>
        <v>0</v>
      </c>
      <c r="E37" s="31">
        <f>E35-E36</f>
        <v>205200</v>
      </c>
      <c r="F37" s="35">
        <f>+E37/E35</f>
        <v>1</v>
      </c>
    </row>
    <row r="38" spans="1:5" ht="13.5" customHeight="1">
      <c r="A38" s="9" t="s">
        <v>12</v>
      </c>
      <c r="C38" s="25"/>
      <c r="D38" s="25"/>
      <c r="E38" s="29"/>
    </row>
    <row r="39" spans="2:6" ht="13.5" customHeight="1">
      <c r="B39" t="s">
        <v>22</v>
      </c>
      <c r="C39" s="128"/>
      <c r="D39" s="126">
        <f>E39-C39</f>
        <v>0</v>
      </c>
      <c r="E39" s="129"/>
      <c r="F39" s="35">
        <f>+E39/E35</f>
        <v>0</v>
      </c>
    </row>
    <row r="40" spans="2:6" ht="12.75">
      <c r="B40" s="12" t="s">
        <v>13</v>
      </c>
      <c r="C40" s="128"/>
      <c r="D40" s="130">
        <f>E40-C40</f>
        <v>0</v>
      </c>
      <c r="E40" s="131"/>
      <c r="F40" s="35">
        <f>+E40/E35</f>
        <v>0</v>
      </c>
    </row>
    <row r="41" spans="1:5" ht="20.25" customHeight="1">
      <c r="A41" s="9" t="s">
        <v>4</v>
      </c>
      <c r="B41" s="15" t="s">
        <v>17</v>
      </c>
      <c r="C41" s="30">
        <f>SUM(C39:C40)</f>
        <v>0</v>
      </c>
      <c r="D41" s="30">
        <f>SUM(D39:D40)</f>
        <v>0</v>
      </c>
      <c r="E41" s="31">
        <f>SUM(E39:E40)</f>
        <v>0</v>
      </c>
    </row>
    <row r="42" spans="1:6" s="6" customFormat="1" ht="22.5" customHeight="1" thickBot="1">
      <c r="A42" s="5" t="s">
        <v>15</v>
      </c>
      <c r="B42" s="5"/>
      <c r="C42" s="132">
        <f>+C37-C41</f>
        <v>205200</v>
      </c>
      <c r="D42" s="142">
        <f>+D37-D41</f>
        <v>0</v>
      </c>
      <c r="E42" s="132">
        <f>+E37-E41</f>
        <v>205200</v>
      </c>
      <c r="F42" s="36">
        <f>+E42/E35</f>
        <v>1</v>
      </c>
    </row>
    <row r="43" spans="1:6" s="6" customFormat="1" ht="17.25" customHeight="1" thickTop="1">
      <c r="A43" s="5"/>
      <c r="B43" s="5"/>
      <c r="C43" s="34"/>
      <c r="D43" s="143">
        <f>+D42/C42</f>
        <v>0</v>
      </c>
      <c r="E43" s="42"/>
      <c r="F43" s="36"/>
    </row>
    <row r="44" spans="1:6" ht="31.5" customHeight="1" thickBot="1">
      <c r="A44" s="288" t="s">
        <v>25</v>
      </c>
      <c r="B44" s="287"/>
      <c r="C44" s="287"/>
      <c r="D44" s="287"/>
      <c r="E44" s="287"/>
      <c r="F44" s="287"/>
    </row>
    <row r="45" spans="1:6" ht="18.75" customHeight="1">
      <c r="A45" s="40"/>
      <c r="B45" s="40"/>
      <c r="C45" s="40"/>
      <c r="D45" s="40"/>
      <c r="E45" s="40"/>
      <c r="F45" s="40"/>
    </row>
    <row r="46" spans="2:5" ht="12.75">
      <c r="B46" t="s">
        <v>62</v>
      </c>
      <c r="C46" s="133">
        <f>+C15*C18*C21</f>
        <v>300</v>
      </c>
      <c r="D46" s="126"/>
      <c r="E46" s="133">
        <f>+E15*E18*E21</f>
        <v>300</v>
      </c>
    </row>
    <row r="47" spans="2:5" ht="12.75">
      <c r="B47" t="s">
        <v>55</v>
      </c>
      <c r="C47" s="133">
        <f>+C16*C19*C22</f>
        <v>150</v>
      </c>
      <c r="D47" s="126"/>
      <c r="E47" s="133">
        <f>+E16*E19*E22</f>
        <v>150</v>
      </c>
    </row>
    <row r="48" spans="2:5" ht="12.75">
      <c r="B48" t="s">
        <v>24</v>
      </c>
      <c r="C48" s="133">
        <f>(+C47+C46)*0.02</f>
        <v>9</v>
      </c>
      <c r="D48" s="126"/>
      <c r="E48" s="133">
        <f>(+E47+E46)*0.02</f>
        <v>9</v>
      </c>
    </row>
    <row r="49" spans="2:6" s="9" customFormat="1" ht="18" customHeight="1" thickBot="1">
      <c r="B49" s="9" t="s">
        <v>11</v>
      </c>
      <c r="C49" s="33">
        <f>SUM(C46:C48)</f>
        <v>459</v>
      </c>
      <c r="D49" s="21"/>
      <c r="E49" s="33">
        <f>SUM(E46:E48)</f>
        <v>459</v>
      </c>
      <c r="F49" s="38"/>
    </row>
    <row r="50" spans="3:4" ht="13.5" thickTop="1">
      <c r="C50" s="11"/>
      <c r="D50" s="10"/>
    </row>
    <row r="51" ht="12.75"/>
    <row r="52" ht="12.75"/>
  </sheetData>
  <sheetProtection/>
  <mergeCells count="3">
    <mergeCell ref="A1:E1"/>
    <mergeCell ref="A31:E31"/>
    <mergeCell ref="A44:F44"/>
  </mergeCells>
  <conditionalFormatting sqref="D15:D16">
    <cfRule type="aboveAverage" priority="1" dxfId="0">
      <formula>D15&gt;AVERAGE(IF(ISERROR($D$15:$D$16),"",IF(ISBLANK($D$15:$D$16),"",$D$15:$D$16)))</formula>
    </cfRule>
  </conditionalFormatting>
  <printOptions horizontalCentered="1"/>
  <pageMargins left="0.75" right="0.25" top="0.28" bottom="0.37" header="0.44" footer="0.17"/>
  <pageSetup cellComments="asDisplayed" fitToHeight="1" fitToWidth="1" horizontalDpi="600" verticalDpi="600" orientation="landscape" scale="83" r:id="rId3"/>
  <headerFooter alignWithMargins="0">
    <oddFooter>&amp;LProfit Equation Planner - Wineries&amp;CCopyright: Brotemarkle, Davis &amp; Co. LLP
707.963.4466&amp;R&amp;D  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33">
      <pane ySplit="1320" topLeftCell="A1" activePane="bottomLeft" state="split"/>
      <selection pane="topLeft" activeCell="A33" sqref="A33"/>
      <selection pane="bottomLeft" activeCell="B7" sqref="B7"/>
    </sheetView>
  </sheetViews>
  <sheetFormatPr defaultColWidth="9.140625" defaultRowHeight="12.75"/>
  <cols>
    <col min="1" max="1" width="3.28125" style="9" customWidth="1"/>
    <col min="2" max="2" width="48.7109375" style="0" customWidth="1"/>
    <col min="3" max="3" width="15.7109375" style="0" bestFit="1" customWidth="1"/>
    <col min="4" max="4" width="17.00390625" style="2" bestFit="1" customWidth="1"/>
    <col min="5" max="5" width="17.140625" style="9" bestFit="1" customWidth="1"/>
    <col min="6" max="6" width="8.28125" style="35" bestFit="1" customWidth="1"/>
    <col min="8" max="8" width="10.28125" style="0" bestFit="1" customWidth="1"/>
    <col min="9" max="9" width="17.00390625" style="0" bestFit="1" customWidth="1"/>
  </cols>
  <sheetData>
    <row r="1" spans="1:6" s="8" customFormat="1" ht="26.25">
      <c r="A1" s="283" t="s">
        <v>72</v>
      </c>
      <c r="B1" s="283"/>
      <c r="C1" s="283"/>
      <c r="D1" s="283"/>
      <c r="E1" s="283"/>
      <c r="F1" s="37"/>
    </row>
    <row r="2" spans="1:5" ht="25.5" customHeight="1">
      <c r="A2" s="5" t="s">
        <v>54</v>
      </c>
      <c r="C2" s="3"/>
      <c r="D2" s="156" t="s">
        <v>0</v>
      </c>
      <c r="E2" s="1"/>
    </row>
    <row r="3" spans="1:5" ht="23.25">
      <c r="A3" s="155" t="s">
        <v>18</v>
      </c>
      <c r="C3" s="67" t="s">
        <v>1</v>
      </c>
      <c r="D3" s="67" t="s">
        <v>20</v>
      </c>
      <c r="E3" s="67" t="s">
        <v>2</v>
      </c>
    </row>
    <row r="4" spans="3:5" ht="12.75">
      <c r="C4" s="16"/>
      <c r="D4" s="16"/>
      <c r="E4" s="16"/>
    </row>
    <row r="5" spans="1:5" ht="12.75">
      <c r="A5" s="9" t="s">
        <v>3</v>
      </c>
      <c r="C5" s="4"/>
      <c r="D5" s="4"/>
      <c r="E5" s="20"/>
    </row>
    <row r="6" spans="2:5" ht="12.75">
      <c r="B6" s="12" t="s">
        <v>67</v>
      </c>
      <c r="C6" s="86">
        <v>250</v>
      </c>
      <c r="D6" s="27"/>
      <c r="E6" s="114">
        <f>+C6</f>
        <v>250</v>
      </c>
    </row>
    <row r="7" spans="1:5" ht="12.75">
      <c r="A7" s="9" t="s">
        <v>5</v>
      </c>
      <c r="C7" s="13"/>
      <c r="D7" s="26"/>
      <c r="E7" s="114"/>
    </row>
    <row r="8" spans="2:5" ht="12.75">
      <c r="B8" s="12" t="s">
        <v>67</v>
      </c>
      <c r="C8" s="89">
        <v>0</v>
      </c>
      <c r="D8" s="43"/>
      <c r="E8" s="115">
        <f>SUM(C8:D8)</f>
        <v>0</v>
      </c>
    </row>
    <row r="9" spans="1:5" ht="12.75">
      <c r="A9" s="9" t="s">
        <v>6</v>
      </c>
      <c r="C9" s="12"/>
      <c r="D9" s="19"/>
      <c r="E9" s="116"/>
    </row>
    <row r="10" spans="2:5" ht="12.75">
      <c r="B10" s="12" t="s">
        <v>67</v>
      </c>
      <c r="C10" s="89">
        <v>0</v>
      </c>
      <c r="D10" s="43"/>
      <c r="E10" s="115">
        <f>SUM(C10:D10)</f>
        <v>0</v>
      </c>
    </row>
    <row r="11" spans="1:5" ht="12.75">
      <c r="A11" s="9" t="s">
        <v>8</v>
      </c>
      <c r="C11" s="18"/>
      <c r="D11" s="18"/>
      <c r="E11"/>
    </row>
    <row r="12" spans="2:5" ht="15">
      <c r="B12" s="12" t="s">
        <v>67</v>
      </c>
      <c r="C12" s="85">
        <f>+C6</f>
        <v>250</v>
      </c>
      <c r="D12" s="153">
        <f>+E12-C11:C12</f>
        <v>0</v>
      </c>
      <c r="E12" s="118">
        <f>+E6*(1+E8+E10)</f>
        <v>250</v>
      </c>
    </row>
    <row r="13" spans="1:5" ht="12.75">
      <c r="A13" s="9" t="s">
        <v>7</v>
      </c>
      <c r="C13" s="12"/>
      <c r="E13" s="116"/>
    </row>
    <row r="14" spans="2:5" ht="12.75">
      <c r="B14" s="12" t="s">
        <v>67</v>
      </c>
      <c r="C14" s="85">
        <v>1</v>
      </c>
      <c r="D14" s="44"/>
      <c r="E14" s="119">
        <f>SUM(C14:D14)</f>
        <v>1</v>
      </c>
    </row>
    <row r="15" spans="1:5" ht="12.75">
      <c r="A15" s="9" t="s">
        <v>9</v>
      </c>
      <c r="C15" s="24"/>
      <c r="D15" s="24"/>
      <c r="E15" s="121"/>
    </row>
    <row r="16" spans="2:5" ht="12.75">
      <c r="B16" s="12" t="s">
        <v>75</v>
      </c>
      <c r="C16" s="134">
        <v>0.18</v>
      </c>
      <c r="D16" s="44"/>
      <c r="E16" s="140">
        <f>SUM(C16:D16)</f>
        <v>0.18</v>
      </c>
    </row>
    <row r="17" spans="1:5" ht="12.75">
      <c r="A17" s="9" t="s">
        <v>10</v>
      </c>
      <c r="C17" s="12"/>
      <c r="D17" s="19"/>
      <c r="E17" s="116"/>
    </row>
    <row r="18" spans="2:9" ht="12.75">
      <c r="B18" s="12" t="s">
        <v>68</v>
      </c>
      <c r="C18" s="91">
        <v>230</v>
      </c>
      <c r="D18" s="47"/>
      <c r="E18" s="122">
        <f>SUM(C18:D18)</f>
        <v>230</v>
      </c>
      <c r="H18" s="136" t="s">
        <v>59</v>
      </c>
      <c r="I18" s="136"/>
    </row>
    <row r="19" spans="1:9" ht="16.5" customHeight="1">
      <c r="A19" s="9" t="s">
        <v>21</v>
      </c>
      <c r="C19" s="12"/>
      <c r="E19" s="116"/>
      <c r="H19" s="111">
        <v>288</v>
      </c>
      <c r="I19" s="137" t="s">
        <v>57</v>
      </c>
    </row>
    <row r="20" spans="2:9" ht="12.75">
      <c r="B20" s="12" t="s">
        <v>67</v>
      </c>
      <c r="C20" s="141">
        <f>+C18*0.3</f>
        <v>69</v>
      </c>
      <c r="D20" s="48"/>
      <c r="E20" s="140">
        <f>SUM(C20:D20)</f>
        <v>69</v>
      </c>
      <c r="H20" s="111">
        <v>72</v>
      </c>
      <c r="I20" s="137" t="s">
        <v>58</v>
      </c>
    </row>
    <row r="21" spans="1:5" ht="13.5" customHeight="1">
      <c r="A21" s="9" t="s">
        <v>28</v>
      </c>
      <c r="C21" s="82">
        <v>0.02</v>
      </c>
      <c r="D21" s="48"/>
      <c r="E21" s="123">
        <f>SUM(C21:D21)</f>
        <v>0.02</v>
      </c>
    </row>
    <row r="22" spans="1:5" ht="13.5" customHeight="1">
      <c r="A22" s="9" t="s">
        <v>13</v>
      </c>
      <c r="C22" s="91">
        <v>10000</v>
      </c>
      <c r="D22" s="49"/>
      <c r="E22" s="114">
        <f>SUM(C22:D22)</f>
        <v>10000</v>
      </c>
    </row>
    <row r="23" spans="1:6" ht="27" customHeight="1" thickBot="1">
      <c r="A23" s="287" t="s">
        <v>19</v>
      </c>
      <c r="B23" s="287"/>
      <c r="C23" s="287"/>
      <c r="D23" s="287"/>
      <c r="E23" s="287"/>
      <c r="F23" s="41"/>
    </row>
    <row r="24" spans="1:10" ht="24" customHeight="1">
      <c r="A24" s="3" t="s">
        <v>15</v>
      </c>
      <c r="C24" s="17"/>
      <c r="D24" s="17"/>
      <c r="E24" s="22"/>
      <c r="H24" s="110" t="s">
        <v>64</v>
      </c>
      <c r="I24" s="110" t="s">
        <v>65</v>
      </c>
      <c r="J24" s="109"/>
    </row>
    <row r="25" spans="1:10" ht="12.75">
      <c r="A25" s="3"/>
      <c r="B25" s="12" t="s">
        <v>70</v>
      </c>
      <c r="C25" s="125">
        <f>+C12*C14*C16*C18</f>
        <v>10350</v>
      </c>
      <c r="D25" s="126">
        <f>E25-C25</f>
        <v>0</v>
      </c>
      <c r="E25" s="127">
        <f>+E12*E14*E16*E18</f>
        <v>10350</v>
      </c>
      <c r="F25" s="35">
        <f>+E25/E26</f>
        <v>1</v>
      </c>
      <c r="H25" s="135">
        <f>+C12*C14*C16</f>
        <v>45</v>
      </c>
      <c r="I25" s="135">
        <f>+C25/H25</f>
        <v>230</v>
      </c>
      <c r="J25" s="109"/>
    </row>
    <row r="26" spans="2:9" ht="12.75">
      <c r="B26" s="14" t="s">
        <v>14</v>
      </c>
      <c r="C26" s="151">
        <f>ROUND(SUM(C25:C25),0)</f>
        <v>10350</v>
      </c>
      <c r="D26" s="151">
        <f>E26-C26</f>
        <v>0</v>
      </c>
      <c r="E26" s="151">
        <f>ROUND(SUM(E25:E25),0)</f>
        <v>10350</v>
      </c>
      <c r="H26" s="147"/>
      <c r="I26" s="53"/>
    </row>
    <row r="27" spans="2:6" ht="12.75">
      <c r="B27" t="s">
        <v>16</v>
      </c>
      <c r="C27" s="32"/>
      <c r="D27" s="32">
        <f>E27-C27</f>
        <v>0</v>
      </c>
      <c r="E27" s="32"/>
      <c r="F27" s="39">
        <f>+E27/E26</f>
        <v>0</v>
      </c>
    </row>
    <row r="28" spans="2:6" ht="18.75" customHeight="1">
      <c r="B28" s="14" t="s">
        <v>76</v>
      </c>
      <c r="C28" s="30">
        <f>C26-C27</f>
        <v>10350</v>
      </c>
      <c r="D28" s="30">
        <f>E28-C28</f>
        <v>0</v>
      </c>
      <c r="E28" s="31">
        <f>E26-E27</f>
        <v>10350</v>
      </c>
      <c r="F28" s="35">
        <f>+E28/E26</f>
        <v>1</v>
      </c>
    </row>
    <row r="29" spans="1:5" ht="13.5" customHeight="1">
      <c r="A29" s="9" t="s">
        <v>12</v>
      </c>
      <c r="C29" s="25"/>
      <c r="D29" s="25"/>
      <c r="E29" s="29"/>
    </row>
    <row r="30" spans="2:6" ht="13.5" customHeight="1">
      <c r="B30" t="s">
        <v>22</v>
      </c>
      <c r="C30" s="128"/>
      <c r="D30" s="126">
        <f>E30-C30</f>
        <v>0</v>
      </c>
      <c r="E30" s="129"/>
      <c r="F30" s="35">
        <f>+E30/E26</f>
        <v>0</v>
      </c>
    </row>
    <row r="31" spans="2:6" ht="12.75">
      <c r="B31" s="12" t="s">
        <v>13</v>
      </c>
      <c r="C31" s="128"/>
      <c r="D31" s="130">
        <f>E31-C31</f>
        <v>0</v>
      </c>
      <c r="E31" s="131"/>
      <c r="F31" s="35">
        <f>+E31/E26</f>
        <v>0</v>
      </c>
    </row>
    <row r="32" spans="1:5" ht="20.25" customHeight="1">
      <c r="A32" s="9" t="s">
        <v>4</v>
      </c>
      <c r="B32" s="15" t="s">
        <v>17</v>
      </c>
      <c r="C32" s="30">
        <f>SUM(C30:C31)</f>
        <v>0</v>
      </c>
      <c r="D32" s="30">
        <f>SUM(D30:D31)</f>
        <v>0</v>
      </c>
      <c r="E32" s="31">
        <f>SUM(E30:E31)</f>
        <v>0</v>
      </c>
    </row>
    <row r="33" spans="1:6" s="6" customFormat="1" ht="26.25" customHeight="1" thickBot="1">
      <c r="A33" s="5" t="s">
        <v>15</v>
      </c>
      <c r="B33" s="5"/>
      <c r="C33" s="132">
        <f>+C28-C32</f>
        <v>10350</v>
      </c>
      <c r="D33" s="142">
        <f>+D28-D32</f>
        <v>0</v>
      </c>
      <c r="E33" s="132">
        <f>+E28-E32</f>
        <v>10350</v>
      </c>
      <c r="F33" s="36">
        <f>+E33/E26</f>
        <v>1</v>
      </c>
    </row>
    <row r="34" spans="1:6" s="6" customFormat="1" ht="18.75" thickTop="1">
      <c r="A34" s="5"/>
      <c r="B34" s="5"/>
      <c r="C34" s="34"/>
      <c r="D34" s="145">
        <f>+D33/C33</f>
        <v>0</v>
      </c>
      <c r="E34" s="42"/>
      <c r="F34" s="36"/>
    </row>
    <row r="35" spans="1:6" ht="18">
      <c r="A35" s="40"/>
      <c r="B35" s="40"/>
      <c r="C35" s="40"/>
      <c r="D35" s="40"/>
      <c r="E35" s="40"/>
      <c r="F35" s="40"/>
    </row>
    <row r="36" spans="1:6" ht="18.75" customHeight="1">
      <c r="A36" s="40"/>
      <c r="B36" s="40"/>
      <c r="C36" s="40"/>
      <c r="D36" s="40"/>
      <c r="E36" s="40"/>
      <c r="F36" s="40"/>
    </row>
    <row r="37" spans="1:6" ht="18">
      <c r="A37" s="146"/>
      <c r="B37" s="147"/>
      <c r="C37" s="40"/>
      <c r="D37" s="40"/>
      <c r="E37" s="40"/>
      <c r="F37" s="148"/>
    </row>
    <row r="38" spans="1:6" ht="18">
      <c r="A38" s="146"/>
      <c r="B38" s="147"/>
      <c r="C38" s="40"/>
      <c r="D38" s="40"/>
      <c r="E38" s="40"/>
      <c r="F38" s="148"/>
    </row>
    <row r="39" spans="1:6" ht="18">
      <c r="A39" s="146"/>
      <c r="B39" s="147"/>
      <c r="C39" s="40"/>
      <c r="D39" s="40"/>
      <c r="E39" s="40"/>
      <c r="F39" s="148"/>
    </row>
    <row r="40" spans="1:6" s="9" customFormat="1" ht="18" customHeight="1">
      <c r="A40" s="146"/>
      <c r="B40" s="146"/>
      <c r="C40" s="40"/>
      <c r="D40" s="40"/>
      <c r="E40" s="40"/>
      <c r="F40" s="149"/>
    </row>
    <row r="41" spans="1:6" ht="18">
      <c r="A41" s="146"/>
      <c r="B41" s="147"/>
      <c r="C41" s="40"/>
      <c r="D41" s="40"/>
      <c r="E41" s="40"/>
      <c r="F41" s="148"/>
    </row>
  </sheetData>
  <sheetProtection/>
  <mergeCells count="2">
    <mergeCell ref="A1:E1"/>
    <mergeCell ref="A23:E23"/>
  </mergeCells>
  <conditionalFormatting sqref="D12">
    <cfRule type="aboveAverage" priority="1" dxfId="0">
      <formula>D12&gt;AVERAGE(IF(ISERROR($D$12:$D$12),"",IF(ISBLANK($D$12:$D$12),"",$D$12:$D$12)))</formula>
    </cfRule>
  </conditionalFormatting>
  <printOptions horizontalCentered="1"/>
  <pageMargins left="0.75" right="0.25" top="0.28" bottom="0.37" header="0.44" footer="0.17"/>
  <pageSetup cellComments="asDisplayed" fitToHeight="1" fitToWidth="1" horizontalDpi="600" verticalDpi="600" orientation="landscape" scale="83" r:id="rId3"/>
  <headerFooter alignWithMargins="0">
    <oddFooter>&amp;LProfit Equation Planner - Wineries&amp;CCopyright: Brotemarkle, Davis &amp; Co. LLP
707.963.4466&amp;R&amp;D   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00390625" style="0" customWidth="1"/>
    <col min="2" max="2" width="29.140625" style="167" customWidth="1"/>
    <col min="3" max="3" width="17.28125" style="167" customWidth="1"/>
    <col min="4" max="4" width="20.00390625" style="167" customWidth="1"/>
    <col min="5" max="5" width="14.28125" style="167" bestFit="1" customWidth="1"/>
  </cols>
  <sheetData>
    <row r="1" spans="1:2" ht="16.5" thickBot="1">
      <c r="A1" s="279"/>
      <c r="B1" s="170" t="s">
        <v>143</v>
      </c>
    </row>
    <row r="2" spans="2:5" ht="16.5" thickBot="1">
      <c r="B2" s="249"/>
      <c r="C2" s="250" t="s">
        <v>120</v>
      </c>
      <c r="D2" s="250" t="s">
        <v>121</v>
      </c>
      <c r="E2" s="250" t="s">
        <v>122</v>
      </c>
    </row>
    <row r="3" spans="2:5" ht="16.5" thickBot="1">
      <c r="B3" s="251" t="s">
        <v>123</v>
      </c>
      <c r="C3" s="264">
        <v>250</v>
      </c>
      <c r="D3" s="264">
        <v>300</v>
      </c>
      <c r="E3" s="265">
        <f>+D3+C3</f>
        <v>550</v>
      </c>
    </row>
    <row r="4" spans="2:5" ht="16.5" thickBot="1">
      <c r="B4" s="252" t="s">
        <v>124</v>
      </c>
      <c r="C4" s="260">
        <v>60</v>
      </c>
      <c r="D4" s="262">
        <v>120</v>
      </c>
      <c r="E4" s="266"/>
    </row>
    <row r="5" spans="2:5" ht="15">
      <c r="B5" s="253" t="s">
        <v>125</v>
      </c>
      <c r="C5" s="293">
        <v>28.73</v>
      </c>
      <c r="D5" s="295">
        <v>28.73</v>
      </c>
      <c r="E5" s="297"/>
    </row>
    <row r="6" spans="2:5" ht="15.75" thickBot="1">
      <c r="B6" s="254" t="s">
        <v>126</v>
      </c>
      <c r="C6" s="294"/>
      <c r="D6" s="296"/>
      <c r="E6" s="298"/>
    </row>
    <row r="7" spans="2:5" ht="16.5" thickBot="1">
      <c r="B7" s="252" t="s">
        <v>127</v>
      </c>
      <c r="C7" s="260">
        <v>28.73</v>
      </c>
      <c r="D7" s="262">
        <v>28.73</v>
      </c>
      <c r="E7" s="262"/>
    </row>
    <row r="8" spans="2:5" ht="16.5" thickBot="1">
      <c r="B8" s="251" t="s">
        <v>128</v>
      </c>
      <c r="C8" s="261">
        <f>+C4-C7</f>
        <v>31.27</v>
      </c>
      <c r="D8" s="263">
        <f>+D4-D7</f>
        <v>91.27</v>
      </c>
      <c r="E8" s="267">
        <f>+(C8*C3+D8*D3)/E3</f>
        <v>63.99727272727273</v>
      </c>
    </row>
    <row r="9" spans="2:5" ht="15.75">
      <c r="B9" s="255" t="s">
        <v>129</v>
      </c>
      <c r="C9" s="299">
        <v>5000</v>
      </c>
      <c r="D9" s="299">
        <v>7500</v>
      </c>
      <c r="E9" s="299">
        <f>+D9+C9</f>
        <v>12500</v>
      </c>
    </row>
    <row r="10" spans="2:5" ht="16.5" thickBot="1">
      <c r="B10" s="256" t="s">
        <v>130</v>
      </c>
      <c r="C10" s="300"/>
      <c r="D10" s="300"/>
      <c r="E10" s="300"/>
    </row>
    <row r="13" spans="2:3" ht="16.5" thickBot="1">
      <c r="B13" s="256" t="s">
        <v>131</v>
      </c>
      <c r="C13" s="258">
        <f>+E9</f>
        <v>12500</v>
      </c>
    </row>
    <row r="14" spans="2:3" ht="16.5" thickBot="1">
      <c r="B14" s="256" t="s">
        <v>132</v>
      </c>
      <c r="C14" s="258">
        <f>+E8</f>
        <v>63.99727272727273</v>
      </c>
    </row>
    <row r="15" spans="2:3" ht="16.5" customHeight="1">
      <c r="B15" s="291" t="s">
        <v>136</v>
      </c>
      <c r="C15" s="289">
        <f>+C13/C14</f>
        <v>195.32082333053964</v>
      </c>
    </row>
    <row r="16" spans="2:3" ht="15.75" thickBot="1">
      <c r="B16" s="292"/>
      <c r="C16" s="290"/>
    </row>
    <row r="17" spans="2:5" ht="16.5" thickBot="1">
      <c r="B17" s="256"/>
      <c r="C17" s="257"/>
      <c r="D17" s="273" t="s">
        <v>15</v>
      </c>
      <c r="E17" s="273" t="s">
        <v>49</v>
      </c>
    </row>
    <row r="18" spans="2:5" ht="16.5" thickBot="1">
      <c r="B18" s="256" t="s">
        <v>133</v>
      </c>
      <c r="C18" s="258">
        <f>+E8*E3-E9</f>
        <v>22698.5</v>
      </c>
      <c r="D18" s="271">
        <f>+E8*E3</f>
        <v>35198.5</v>
      </c>
      <c r="E18" s="272">
        <f>+E9</f>
        <v>12500</v>
      </c>
    </row>
    <row r="19" spans="2:3" ht="16.5" thickBot="1">
      <c r="B19" s="256" t="s">
        <v>134</v>
      </c>
      <c r="C19" s="258">
        <v>12500</v>
      </c>
    </row>
    <row r="20" spans="2:3" ht="16.5" thickBot="1">
      <c r="B20" s="256" t="s">
        <v>135</v>
      </c>
      <c r="C20" s="259">
        <f>+C18/C19*100%</f>
        <v>1.81588</v>
      </c>
    </row>
    <row r="22" spans="2:4" ht="15.75">
      <c r="B22" s="170" t="s">
        <v>138</v>
      </c>
      <c r="C22" s="270">
        <v>-30000</v>
      </c>
      <c r="D22" s="167" t="s">
        <v>141</v>
      </c>
    </row>
    <row r="23" spans="2:4" ht="15.75">
      <c r="B23" s="170" t="s">
        <v>140</v>
      </c>
      <c r="C23" s="270">
        <f>+'Scenario 2'!D35</f>
        <v>54023</v>
      </c>
      <c r="D23" s="269" t="s">
        <v>142</v>
      </c>
    </row>
    <row r="24" spans="2:4" ht="15.75">
      <c r="B24" s="170" t="s">
        <v>139</v>
      </c>
      <c r="C24" s="270">
        <f>+'Scenario 3'!D38</f>
        <v>49800</v>
      </c>
      <c r="D24" s="269" t="s">
        <v>144</v>
      </c>
    </row>
  </sheetData>
  <sheetProtection/>
  <mergeCells count="8">
    <mergeCell ref="C15:C16"/>
    <mergeCell ref="B15:B16"/>
    <mergeCell ref="C5:C6"/>
    <mergeCell ref="D5:D6"/>
    <mergeCell ref="E5:E6"/>
    <mergeCell ref="C9:C10"/>
    <mergeCell ref="D9:D10"/>
    <mergeCell ref="E9:E10"/>
  </mergeCells>
  <printOptions horizontalCentered="1"/>
  <pageMargins left="0.25" right="0.25" top="0.28" bottom="0.37" header="0.44" footer="0.17"/>
  <pageSetup cellComments="asDisplayed" fitToHeight="1" fitToWidth="1" horizontalDpi="600" verticalDpi="600" orientation="landscape" r:id="rId1"/>
  <headerFooter scaleWithDoc="0" alignWithMargins="0">
    <oddHeader>&amp;R&amp;A</oddHeader>
    <oddFooter>&amp;LProfit Equation Planner - Wineries&amp;CCopyright: Brotemarkle, Davis &amp; Co. LLP
707.963.4466&amp;R&amp;D 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58"/>
  <sheetViews>
    <sheetView zoomScale="110" zoomScaleNormal="110" zoomScalePageLayoutView="0" workbookViewId="0" topLeftCell="A33">
      <pane ySplit="2175" topLeftCell="A2" activePane="bottomLeft" state="split"/>
      <selection pane="topLeft" activeCell="B1" sqref="B1"/>
      <selection pane="bottomLeft" activeCell="B1" sqref="B1"/>
    </sheetView>
  </sheetViews>
  <sheetFormatPr defaultColWidth="9.140625" defaultRowHeight="12.75" outlineLevelRow="1"/>
  <cols>
    <col min="1" max="1" width="3.28125" style="9" customWidth="1"/>
    <col min="2" max="2" width="50.421875" style="0" customWidth="1"/>
    <col min="3" max="3" width="17.00390625" style="0" bestFit="1" customWidth="1"/>
    <col min="4" max="4" width="20.140625" style="2" customWidth="1"/>
    <col min="5" max="5" width="17.28125" style="9" bestFit="1" customWidth="1"/>
    <col min="6" max="6" width="12.57421875" style="35" bestFit="1" customWidth="1"/>
    <col min="7" max="7" width="11.57421875" style="0" bestFit="1" customWidth="1"/>
    <col min="8" max="8" width="18.00390625" style="0" bestFit="1" customWidth="1"/>
    <col min="9" max="9" width="15.7109375" style="0" customWidth="1"/>
    <col min="10" max="10" width="14.421875" style="0" bestFit="1" customWidth="1"/>
    <col min="12" max="12" width="16.00390625" style="0" bestFit="1" customWidth="1"/>
    <col min="13" max="13" width="14.28125" style="0" bestFit="1" customWidth="1"/>
  </cols>
  <sheetData>
    <row r="1" ht="6" customHeight="1"/>
    <row r="2" spans="1:10" s="8" customFormat="1" ht="26.25">
      <c r="A2" s="283" t="s">
        <v>117</v>
      </c>
      <c r="B2" s="283"/>
      <c r="C2" s="283"/>
      <c r="D2" s="283"/>
      <c r="E2" s="283"/>
      <c r="F2" s="37"/>
      <c r="H2"/>
      <c r="I2" s="1" t="s">
        <v>80</v>
      </c>
      <c r="J2" s="1" t="s">
        <v>81</v>
      </c>
    </row>
    <row r="3" spans="1:10" ht="15.75">
      <c r="A3" s="170" t="s">
        <v>26</v>
      </c>
      <c r="C3" s="3"/>
      <c r="E3" s="1"/>
      <c r="H3" s="8" t="s">
        <v>78</v>
      </c>
      <c r="I3" s="237">
        <f>+C6*C7</f>
        <v>10400</v>
      </c>
      <c r="J3" s="235"/>
    </row>
    <row r="4" spans="3:10" ht="15">
      <c r="C4" s="7"/>
      <c r="D4" s="224" t="s">
        <v>0</v>
      </c>
      <c r="E4" s="7"/>
      <c r="H4" t="s">
        <v>79</v>
      </c>
      <c r="I4" s="237">
        <f>+C8*C6</f>
        <v>2600</v>
      </c>
      <c r="J4" s="235"/>
    </row>
    <row r="5" spans="1:12" ht="20.25">
      <c r="A5" s="51" t="s">
        <v>34</v>
      </c>
      <c r="C5" s="67" t="s">
        <v>1</v>
      </c>
      <c r="D5" s="67" t="s">
        <v>20</v>
      </c>
      <c r="E5" s="67" t="s">
        <v>2</v>
      </c>
      <c r="H5" t="s">
        <v>47</v>
      </c>
      <c r="I5" s="238">
        <v>1000</v>
      </c>
      <c r="J5" s="236">
        <f>+Inputs!B39</f>
        <v>0</v>
      </c>
      <c r="K5" s="154" t="e">
        <f>+J5/J4</f>
        <v>#DIV/0!</v>
      </c>
      <c r="L5" s="223" t="s">
        <v>99</v>
      </c>
    </row>
    <row r="6" spans="1:6" s="167" customFormat="1" ht="15">
      <c r="A6" s="163" t="s">
        <v>31</v>
      </c>
      <c r="B6" s="163"/>
      <c r="C6" s="164">
        <v>260</v>
      </c>
      <c r="D6" s="179"/>
      <c r="E6" s="165">
        <f>+C6+D6</f>
        <v>260</v>
      </c>
      <c r="F6" s="166"/>
    </row>
    <row r="7" spans="1:8" s="167" customFormat="1" ht="15">
      <c r="A7" s="163" t="s">
        <v>77</v>
      </c>
      <c r="B7" s="163"/>
      <c r="C7" s="184">
        <v>40</v>
      </c>
      <c r="D7" s="180"/>
      <c r="E7" s="188">
        <f>+C7+D7</f>
        <v>40</v>
      </c>
      <c r="F7" s="209"/>
      <c r="H7" s="167" t="s">
        <v>137</v>
      </c>
    </row>
    <row r="8" spans="1:6" s="167" customFormat="1" ht="15">
      <c r="A8" s="163" t="s">
        <v>30</v>
      </c>
      <c r="B8" s="163"/>
      <c r="C8" s="186">
        <v>10</v>
      </c>
      <c r="D8" s="241"/>
      <c r="E8" s="245">
        <f>+C8+D8</f>
        <v>10</v>
      </c>
      <c r="F8" s="209"/>
    </row>
    <row r="9" spans="1:10" s="167" customFormat="1" ht="15.75">
      <c r="A9" s="163" t="s">
        <v>32</v>
      </c>
      <c r="B9" s="163"/>
      <c r="C9" s="189">
        <f>+C8/C7</f>
        <v>0.25</v>
      </c>
      <c r="D9" s="168"/>
      <c r="E9" s="169">
        <f>+E8/E7</f>
        <v>0.25</v>
      </c>
      <c r="F9" s="166"/>
      <c r="H9" s="170" t="s">
        <v>46</v>
      </c>
      <c r="I9" s="170" t="s">
        <v>47</v>
      </c>
      <c r="J9" s="170" t="s">
        <v>48</v>
      </c>
    </row>
    <row r="10" spans="1:10" s="167" customFormat="1" ht="15">
      <c r="A10" s="163" t="s">
        <v>35</v>
      </c>
      <c r="B10" s="163"/>
      <c r="C10" s="185">
        <f>+H11/12</f>
        <v>0.38461666666666666</v>
      </c>
      <c r="D10" s="212">
        <f>+J10</f>
        <v>3E-07</v>
      </c>
      <c r="E10" s="187">
        <f>+C10+D10</f>
        <v>0.38461696666666667</v>
      </c>
      <c r="F10" s="166"/>
      <c r="G10" s="171"/>
      <c r="H10" s="234">
        <f>+H11</f>
        <v>4.6154</v>
      </c>
      <c r="I10" s="211">
        <f>ROUND(+H10/12,6)</f>
        <v>0.384617</v>
      </c>
      <c r="J10" s="211">
        <f>ROUND(+I10-C10,7)</f>
        <v>3E-07</v>
      </c>
    </row>
    <row r="11" spans="1:9" s="167" customFormat="1" ht="24" customHeight="1" thickBot="1">
      <c r="A11" s="163" t="s">
        <v>36</v>
      </c>
      <c r="B11" s="163"/>
      <c r="C11" s="210">
        <f>+C10*C6*C8</f>
        <v>1000.0033333333333</v>
      </c>
      <c r="D11" s="172"/>
      <c r="E11" s="205">
        <f>ROUND(+E6*E9*E7*E10,2)</f>
        <v>1000</v>
      </c>
      <c r="F11" s="166"/>
      <c r="H11" s="218">
        <v>4.6154</v>
      </c>
      <c r="I11" s="167" t="s">
        <v>1</v>
      </c>
    </row>
    <row r="12" spans="1:6" s="167" customFormat="1" ht="3" customHeight="1" thickTop="1">
      <c r="A12" s="170"/>
      <c r="C12" s="173"/>
      <c r="D12" s="174"/>
      <c r="E12" s="173"/>
      <c r="F12" s="166"/>
    </row>
    <row r="13" spans="1:9" s="167" customFormat="1" ht="18">
      <c r="A13" s="5" t="s">
        <v>44</v>
      </c>
      <c r="C13" s="175" t="s">
        <v>1</v>
      </c>
      <c r="D13" s="67" t="s">
        <v>20</v>
      </c>
      <c r="E13" s="175" t="s">
        <v>2</v>
      </c>
      <c r="F13" s="166"/>
      <c r="G13" s="175" t="s">
        <v>1</v>
      </c>
      <c r="H13" s="67" t="s">
        <v>20</v>
      </c>
      <c r="I13" s="175" t="s">
        <v>2</v>
      </c>
    </row>
    <row r="14" spans="1:11" s="167" customFormat="1" ht="15.75">
      <c r="A14" s="170" t="s">
        <v>41</v>
      </c>
      <c r="C14" s="173"/>
      <c r="D14" s="174"/>
      <c r="E14" s="173"/>
      <c r="F14" s="222" t="s">
        <v>88</v>
      </c>
      <c r="G14" s="170" t="s">
        <v>90</v>
      </c>
      <c r="J14" s="221" t="s">
        <v>89</v>
      </c>
      <c r="K14" s="167">
        <v>2014</v>
      </c>
    </row>
    <row r="15" spans="1:10" s="167" customFormat="1" ht="15.75">
      <c r="A15" s="170"/>
      <c r="B15" s="167" t="s">
        <v>118</v>
      </c>
      <c r="C15" s="191">
        <f>1-C16</f>
        <v>0.5085500000000001</v>
      </c>
      <c r="D15" s="246">
        <v>-0.05</v>
      </c>
      <c r="E15" s="191">
        <f>+D15+C15</f>
        <v>0.45855000000000007</v>
      </c>
      <c r="F15" s="217">
        <f aca="true" t="shared" si="0" ref="F15:F20">+D15*$C$11</f>
        <v>-50.00016666666667</v>
      </c>
      <c r="G15" s="193">
        <v>240</v>
      </c>
      <c r="H15" s="192"/>
      <c r="I15" s="194">
        <f>+H15+G15</f>
        <v>240</v>
      </c>
      <c r="J15" s="220">
        <f>+I15/12</f>
        <v>20</v>
      </c>
    </row>
    <row r="16" spans="1:10" s="167" customFormat="1" ht="15.75">
      <c r="A16" s="170"/>
      <c r="B16" s="167" t="s">
        <v>119</v>
      </c>
      <c r="C16" s="191">
        <v>0.49145</v>
      </c>
      <c r="D16" s="247">
        <v>-0.05</v>
      </c>
      <c r="E16" s="191">
        <f>+D16+C16</f>
        <v>0.44145</v>
      </c>
      <c r="F16" s="217">
        <f t="shared" si="0"/>
        <v>-50.00016666666667</v>
      </c>
      <c r="G16" s="193">
        <v>720</v>
      </c>
      <c r="H16" s="192"/>
      <c r="I16" s="194">
        <f>+H16+G16</f>
        <v>720</v>
      </c>
      <c r="J16" s="220">
        <f aca="true" t="shared" si="1" ref="J16:J30">+I16/12</f>
        <v>60</v>
      </c>
    </row>
    <row r="17" spans="1:10" s="167" customFormat="1" ht="15.75">
      <c r="A17" s="170"/>
      <c r="B17" s="167" t="s">
        <v>100</v>
      </c>
      <c r="C17" s="190"/>
      <c r="D17" s="268">
        <v>0.1</v>
      </c>
      <c r="E17" s="191">
        <f aca="true" t="shared" si="2" ref="E17:E30">+D17+C17</f>
        <v>0.1</v>
      </c>
      <c r="F17" s="217">
        <f t="shared" si="0"/>
        <v>100.00033333333334</v>
      </c>
      <c r="G17" s="193">
        <f>15*12</f>
        <v>180</v>
      </c>
      <c r="H17" s="192"/>
      <c r="I17" s="194">
        <f aca="true" t="shared" si="3" ref="I17:I30">+H17+G17</f>
        <v>180</v>
      </c>
      <c r="J17" s="220">
        <f t="shared" si="1"/>
        <v>15</v>
      </c>
    </row>
    <row r="18" spans="1:10" s="167" customFormat="1" ht="15.75">
      <c r="A18" s="170"/>
      <c r="B18" s="167" t="s">
        <v>101</v>
      </c>
      <c r="C18" s="190"/>
      <c r="D18" s="248"/>
      <c r="E18" s="191">
        <f t="shared" si="2"/>
        <v>0</v>
      </c>
      <c r="F18" s="217">
        <f t="shared" si="0"/>
        <v>0</v>
      </c>
      <c r="G18" s="193">
        <v>0</v>
      </c>
      <c r="H18" s="192"/>
      <c r="I18" s="194">
        <f t="shared" si="3"/>
        <v>0</v>
      </c>
      <c r="J18" s="220">
        <f t="shared" si="1"/>
        <v>0</v>
      </c>
    </row>
    <row r="19" spans="1:10" s="167" customFormat="1" ht="15.75">
      <c r="A19" s="170"/>
      <c r="B19" s="167" t="s">
        <v>102</v>
      </c>
      <c r="C19" s="190"/>
      <c r="D19" s="248"/>
      <c r="E19" s="191">
        <f t="shared" si="2"/>
        <v>0</v>
      </c>
      <c r="F19" s="217">
        <f t="shared" si="0"/>
        <v>0</v>
      </c>
      <c r="G19" s="193">
        <v>0</v>
      </c>
      <c r="H19" s="192"/>
      <c r="I19" s="194">
        <f t="shared" si="3"/>
        <v>0</v>
      </c>
      <c r="J19" s="220">
        <f t="shared" si="1"/>
        <v>0</v>
      </c>
    </row>
    <row r="20" spans="1:10" s="167" customFormat="1" ht="15.75">
      <c r="A20" s="170"/>
      <c r="B20" s="167" t="s">
        <v>103</v>
      </c>
      <c r="C20" s="190"/>
      <c r="D20" s="248"/>
      <c r="E20" s="191">
        <f t="shared" si="2"/>
        <v>0</v>
      </c>
      <c r="F20" s="217">
        <f t="shared" si="0"/>
        <v>0</v>
      </c>
      <c r="G20" s="193">
        <v>0</v>
      </c>
      <c r="H20" s="192"/>
      <c r="I20" s="194">
        <f t="shared" si="3"/>
        <v>0</v>
      </c>
      <c r="J20" s="220">
        <f t="shared" si="1"/>
        <v>0</v>
      </c>
    </row>
    <row r="21" spans="1:10" s="167" customFormat="1" ht="15.75">
      <c r="A21" s="170"/>
      <c r="B21" s="167" t="s">
        <v>104</v>
      </c>
      <c r="C21" s="190"/>
      <c r="D21" s="248"/>
      <c r="E21" s="191">
        <f t="shared" si="2"/>
        <v>0</v>
      </c>
      <c r="F21" s="217">
        <f aca="true" t="shared" si="4" ref="F21:F30">+D21*$C$11</f>
        <v>0</v>
      </c>
      <c r="G21" s="193">
        <v>0</v>
      </c>
      <c r="H21" s="192"/>
      <c r="I21" s="194">
        <f t="shared" si="3"/>
        <v>0</v>
      </c>
      <c r="J21" s="220">
        <f t="shared" si="1"/>
        <v>0</v>
      </c>
    </row>
    <row r="22" spans="1:10" s="167" customFormat="1" ht="12" customHeight="1">
      <c r="A22" s="170"/>
      <c r="B22" s="167" t="s">
        <v>105</v>
      </c>
      <c r="C22" s="190"/>
      <c r="D22" s="248"/>
      <c r="E22" s="191">
        <f t="shared" si="2"/>
        <v>0</v>
      </c>
      <c r="F22" s="217">
        <f t="shared" si="4"/>
        <v>0</v>
      </c>
      <c r="G22" s="193">
        <v>0</v>
      </c>
      <c r="H22" s="192"/>
      <c r="I22" s="194">
        <f t="shared" si="3"/>
        <v>0</v>
      </c>
      <c r="J22" s="220">
        <f t="shared" si="1"/>
        <v>0</v>
      </c>
    </row>
    <row r="23" spans="1:10" s="167" customFormat="1" ht="15.75" hidden="1" outlineLevel="1">
      <c r="A23" s="170"/>
      <c r="B23" s="167" t="s">
        <v>106</v>
      </c>
      <c r="C23" s="190"/>
      <c r="D23" s="213"/>
      <c r="E23" s="191">
        <f t="shared" si="2"/>
        <v>0</v>
      </c>
      <c r="F23" s="217">
        <f t="shared" si="4"/>
        <v>0</v>
      </c>
      <c r="G23" s="193">
        <v>0</v>
      </c>
      <c r="H23" s="192"/>
      <c r="I23" s="194">
        <f t="shared" si="3"/>
        <v>0</v>
      </c>
      <c r="J23" s="220">
        <f t="shared" si="1"/>
        <v>0</v>
      </c>
    </row>
    <row r="24" spans="1:10" s="167" customFormat="1" ht="15.75" hidden="1" outlineLevel="1">
      <c r="A24" s="170"/>
      <c r="B24" s="167" t="s">
        <v>107</v>
      </c>
      <c r="C24" s="190"/>
      <c r="D24" s="213"/>
      <c r="E24" s="191">
        <f t="shared" si="2"/>
        <v>0</v>
      </c>
      <c r="F24" s="217">
        <f t="shared" si="4"/>
        <v>0</v>
      </c>
      <c r="G24" s="193">
        <v>0</v>
      </c>
      <c r="H24" s="192"/>
      <c r="I24" s="194">
        <f t="shared" si="3"/>
        <v>0</v>
      </c>
      <c r="J24" s="220">
        <f t="shared" si="1"/>
        <v>0</v>
      </c>
    </row>
    <row r="25" spans="1:10" s="167" customFormat="1" ht="15.75" hidden="1" outlineLevel="1">
      <c r="A25" s="170"/>
      <c r="B25" s="167" t="s">
        <v>108</v>
      </c>
      <c r="C25" s="190"/>
      <c r="D25" s="213"/>
      <c r="E25" s="191">
        <f t="shared" si="2"/>
        <v>0</v>
      </c>
      <c r="F25" s="217">
        <f t="shared" si="4"/>
        <v>0</v>
      </c>
      <c r="G25" s="193">
        <v>0</v>
      </c>
      <c r="H25" s="192"/>
      <c r="I25" s="194">
        <f t="shared" si="3"/>
        <v>0</v>
      </c>
      <c r="J25" s="220">
        <f t="shared" si="1"/>
        <v>0</v>
      </c>
    </row>
    <row r="26" spans="1:10" s="167" customFormat="1" ht="15.75" hidden="1" outlineLevel="1">
      <c r="A26" s="170"/>
      <c r="B26" s="167" t="s">
        <v>109</v>
      </c>
      <c r="C26" s="190"/>
      <c r="D26" s="213"/>
      <c r="E26" s="191">
        <f t="shared" si="2"/>
        <v>0</v>
      </c>
      <c r="F26" s="217">
        <f t="shared" si="4"/>
        <v>0</v>
      </c>
      <c r="G26" s="193">
        <v>0</v>
      </c>
      <c r="H26" s="192"/>
      <c r="I26" s="194">
        <f t="shared" si="3"/>
        <v>0</v>
      </c>
      <c r="J26" s="220">
        <f t="shared" si="1"/>
        <v>0</v>
      </c>
    </row>
    <row r="27" spans="1:10" s="167" customFormat="1" ht="15.75" hidden="1" outlineLevel="1">
      <c r="A27" s="170"/>
      <c r="B27" s="167" t="s">
        <v>110</v>
      </c>
      <c r="C27" s="190"/>
      <c r="D27" s="213"/>
      <c r="E27" s="191">
        <f t="shared" si="2"/>
        <v>0</v>
      </c>
      <c r="F27" s="217">
        <f t="shared" si="4"/>
        <v>0</v>
      </c>
      <c r="G27" s="193">
        <v>0</v>
      </c>
      <c r="H27" s="192"/>
      <c r="I27" s="194">
        <f t="shared" si="3"/>
        <v>0</v>
      </c>
      <c r="J27" s="220">
        <f t="shared" si="1"/>
        <v>0</v>
      </c>
    </row>
    <row r="28" spans="1:10" s="167" customFormat="1" ht="15.75" hidden="1" outlineLevel="1">
      <c r="A28" s="170"/>
      <c r="B28" s="167" t="s">
        <v>111</v>
      </c>
      <c r="C28" s="190"/>
      <c r="D28" s="213"/>
      <c r="E28" s="191">
        <f t="shared" si="2"/>
        <v>0</v>
      </c>
      <c r="F28" s="217">
        <f t="shared" si="4"/>
        <v>0</v>
      </c>
      <c r="G28" s="193">
        <v>0</v>
      </c>
      <c r="H28" s="192"/>
      <c r="I28" s="194">
        <f t="shared" si="3"/>
        <v>0</v>
      </c>
      <c r="J28" s="220">
        <f t="shared" si="1"/>
        <v>0</v>
      </c>
    </row>
    <row r="29" spans="1:10" s="167" customFormat="1" ht="15.75" hidden="1" outlineLevel="1">
      <c r="A29" s="170"/>
      <c r="B29" s="167" t="s">
        <v>112</v>
      </c>
      <c r="C29" s="190"/>
      <c r="D29" s="213"/>
      <c r="E29" s="191">
        <f t="shared" si="2"/>
        <v>0</v>
      </c>
      <c r="F29" s="217">
        <f t="shared" si="4"/>
        <v>0</v>
      </c>
      <c r="G29" s="193">
        <v>1200</v>
      </c>
      <c r="H29" s="192"/>
      <c r="I29" s="194">
        <f t="shared" si="3"/>
        <v>1200</v>
      </c>
      <c r="J29" s="220">
        <f t="shared" si="1"/>
        <v>100</v>
      </c>
    </row>
    <row r="30" spans="1:10" s="167" customFormat="1" ht="15.75" hidden="1" outlineLevel="1">
      <c r="A30" s="170"/>
      <c r="B30" s="167" t="s">
        <v>113</v>
      </c>
      <c r="C30" s="190"/>
      <c r="D30" s="192"/>
      <c r="E30" s="176">
        <f t="shared" si="2"/>
        <v>0</v>
      </c>
      <c r="F30" s="217">
        <f t="shared" si="4"/>
        <v>0</v>
      </c>
      <c r="G30" s="193">
        <v>1320</v>
      </c>
      <c r="H30" s="192"/>
      <c r="I30" s="194">
        <f t="shared" si="3"/>
        <v>1320</v>
      </c>
      <c r="J30" s="219">
        <f t="shared" si="1"/>
        <v>110</v>
      </c>
    </row>
    <row r="31" spans="1:9" s="167" customFormat="1" ht="15.75" collapsed="1">
      <c r="A31" s="170"/>
      <c r="C31" s="215">
        <f>SUM(C15:C30)</f>
        <v>1</v>
      </c>
      <c r="D31" s="214">
        <f>IF(SUM(D15:D30)&lt;&gt;0,"Error, Percentages must total zero.","")</f>
      </c>
      <c r="E31" s="216">
        <f>SUM(E15:E30)</f>
        <v>1.0000000000000002</v>
      </c>
      <c r="F31" s="166"/>
      <c r="G31" s="284"/>
      <c r="H31" s="284"/>
      <c r="I31" s="284"/>
    </row>
    <row r="32" spans="2:5" ht="18" customHeight="1">
      <c r="B32" s="12"/>
      <c r="C32" s="52"/>
      <c r="D32" s="57"/>
      <c r="E32" s="52"/>
    </row>
    <row r="33" spans="1:6" ht="16.5" customHeight="1">
      <c r="A33" s="51" t="s">
        <v>45</v>
      </c>
      <c r="B33" s="55"/>
      <c r="C33" s="67" t="s">
        <v>1</v>
      </c>
      <c r="D33" s="67" t="s">
        <v>20</v>
      </c>
      <c r="E33" s="67" t="s">
        <v>2</v>
      </c>
      <c r="F33" s="67" t="s">
        <v>66</v>
      </c>
    </row>
    <row r="34" spans="1:12" ht="15">
      <c r="A34" s="56" t="s">
        <v>94</v>
      </c>
      <c r="B34" s="56"/>
      <c r="C34" s="159">
        <v>476000</v>
      </c>
      <c r="D34" s="160">
        <f>+E34-C34</f>
        <v>0</v>
      </c>
      <c r="E34" s="161">
        <f>+E11*L34</f>
        <v>476000</v>
      </c>
      <c r="F34" s="162"/>
      <c r="H34" s="109"/>
      <c r="I34" s="110" t="s">
        <v>33</v>
      </c>
      <c r="J34" s="109"/>
      <c r="K34" s="109"/>
      <c r="L34" s="113">
        <v>476</v>
      </c>
    </row>
    <row r="35" spans="1:12" ht="15">
      <c r="A35" s="56" t="s">
        <v>95</v>
      </c>
      <c r="B35" s="56"/>
      <c r="C35" s="159">
        <f>+C34</f>
        <v>476000</v>
      </c>
      <c r="D35" s="160">
        <f>+E35-C35</f>
        <v>-30000</v>
      </c>
      <c r="E35" s="161">
        <f>+E$11*L35</f>
        <v>446000</v>
      </c>
      <c r="F35" s="162">
        <f>+E35-E34</f>
        <v>-30000</v>
      </c>
      <c r="H35" s="112" t="s">
        <v>42</v>
      </c>
      <c r="I35" s="110" t="s">
        <v>39</v>
      </c>
      <c r="J35" s="109"/>
      <c r="K35" s="109"/>
      <c r="L35" s="113">
        <f>ROUND((+E15*$C$11*G15+E16*$C$11*G16+E17*$C$11*G17+E18*$C$11*G18+E19*$C$11*G19+E20*$C$11*G20+E21*$C$11*G21+E22*$C$11*G22+E23*$C$11*G23+E24*$C$11*G24+E25*$C$11*G25+E26*$C$11*G26+E27*$C$11*G27+E28*$C$11*G28+E29*$C$11*G29+E30*$C$11*G30)/C$11,2)+0.1</f>
        <v>446</v>
      </c>
    </row>
    <row r="36" spans="1:12" ht="15">
      <c r="A36" s="56" t="s">
        <v>96</v>
      </c>
      <c r="B36" s="56"/>
      <c r="C36" s="159">
        <f>+C35</f>
        <v>476000</v>
      </c>
      <c r="D36" s="160">
        <f>+E36-C36</f>
        <v>0</v>
      </c>
      <c r="E36" s="161">
        <f>+E$11*L36</f>
        <v>476000</v>
      </c>
      <c r="F36" s="162">
        <f>+E36-E34</f>
        <v>0</v>
      </c>
      <c r="H36" s="112" t="s">
        <v>43</v>
      </c>
      <c r="I36" s="110" t="s">
        <v>40</v>
      </c>
      <c r="J36" s="109"/>
      <c r="K36" s="109"/>
      <c r="L36" s="113">
        <f>ROUND((+C15*$C$11*I15+C16*$C$11*I16+C17*$C$11*I17+C18*$C$11*I18+C19*$C$11*I19+C20*$C$11*I20+C21*$C$11*I21+C22*$C$11*I22+C23*$C$11*I23+C24*$C$11*I24+C25*$C$11*I25+C26*$C$11*I26+C27*$C$11*I27+C28*$C$11*I28+C29*$C$11*I29+C30*$C$11*I30)/C$11,2)+0.1</f>
        <v>476</v>
      </c>
    </row>
    <row r="37" spans="1:12" ht="9" customHeight="1">
      <c r="A37" s="56"/>
      <c r="B37" s="56"/>
      <c r="C37" s="159"/>
      <c r="D37" s="225"/>
      <c r="E37" s="161"/>
      <c r="F37" s="162"/>
      <c r="H37" s="226"/>
      <c r="I37" s="227"/>
      <c r="J37" s="228"/>
      <c r="K37" s="228"/>
      <c r="L37" s="229"/>
    </row>
    <row r="38" spans="1:12" ht="15">
      <c r="A38" s="56" t="s">
        <v>97</v>
      </c>
      <c r="B38" s="55"/>
      <c r="C38" s="159">
        <f>+C35</f>
        <v>476000</v>
      </c>
      <c r="D38" s="160">
        <f>+E38-C38</f>
        <v>-30000</v>
      </c>
      <c r="E38" s="161">
        <f>+L38*E11</f>
        <v>446000</v>
      </c>
      <c r="F38" s="162">
        <f>+E38-E34</f>
        <v>-30000</v>
      </c>
      <c r="G38" s="1"/>
      <c r="H38" s="112" t="s">
        <v>92</v>
      </c>
      <c r="I38" s="110" t="s">
        <v>91</v>
      </c>
      <c r="J38" s="109"/>
      <c r="K38" s="109"/>
      <c r="L38" s="113">
        <f>ROUND((+E15*$C$11*I15+E16*$C$11*I16+E17*$C$11*I17+E18*$C$11*I18+E19*$C$11*I19+E20*$C$11*I20+E21*$C$11*I21+E22*$C$11*I22+E23*$C$11*I23+E24*$C$11*I24+E25*$C$11*I25+E26*$C$11*I26+E27*$C$11*I27+E28*$C$11*I28+E29*$C$11*I29+E30*$C$11*I30)/C$11,2)+0.1</f>
        <v>446</v>
      </c>
    </row>
    <row r="39" spans="1:11" ht="20.25" hidden="1">
      <c r="A39" s="51" t="s">
        <v>49</v>
      </c>
      <c r="C39" s="60"/>
      <c r="D39"/>
      <c r="E39" s="58"/>
      <c r="I39" s="110"/>
      <c r="J39" s="109"/>
      <c r="K39" s="109"/>
    </row>
    <row r="40" spans="1:8" ht="12.75" hidden="1">
      <c r="A40" s="12" t="s">
        <v>37</v>
      </c>
      <c r="C40" s="88">
        <v>0.4</v>
      </c>
      <c r="D40" s="80"/>
      <c r="E40" s="52">
        <f>+D40+C40</f>
        <v>0.4</v>
      </c>
      <c r="F40" s="64"/>
      <c r="G40" s="65"/>
      <c r="H40" s="65"/>
    </row>
    <row r="41" spans="1:8" ht="12.75" hidden="1">
      <c r="A41" s="12" t="s">
        <v>38</v>
      </c>
      <c r="C41" s="88">
        <v>0.3</v>
      </c>
      <c r="D41" s="80"/>
      <c r="E41" s="52">
        <f>+D41+C41</f>
        <v>0.3</v>
      </c>
      <c r="F41" s="64"/>
      <c r="G41" s="65"/>
      <c r="H41" s="65"/>
    </row>
    <row r="42" spans="1:8" ht="13.5" customHeight="1" hidden="1">
      <c r="A42" s="59"/>
      <c r="B42" s="65"/>
      <c r="C42" s="61"/>
      <c r="D42" s="61"/>
      <c r="E42" s="29"/>
      <c r="F42" s="64"/>
      <c r="G42" s="65"/>
      <c r="H42" s="65"/>
    </row>
    <row r="43" spans="1:8" ht="13.5" customHeight="1" hidden="1">
      <c r="A43" s="9" t="s">
        <v>28</v>
      </c>
      <c r="C43" s="82">
        <v>0.17</v>
      </c>
      <c r="D43" s="48"/>
      <c r="E43" s="84">
        <f>SUM(C43:D43)</f>
        <v>0.17</v>
      </c>
      <c r="G43" s="65"/>
      <c r="H43" s="65"/>
    </row>
    <row r="44" spans="1:8" ht="12.75" hidden="1">
      <c r="A44" s="9" t="s">
        <v>69</v>
      </c>
      <c r="C44" s="86">
        <v>100000</v>
      </c>
      <c r="D44" s="49"/>
      <c r="E44" s="87">
        <f>SUM(C44:D44)</f>
        <v>100000</v>
      </c>
      <c r="G44" s="65"/>
      <c r="H44" s="65"/>
    </row>
    <row r="45" spans="3:8" ht="12.75" hidden="1">
      <c r="C45" s="60"/>
      <c r="D45" s="62"/>
      <c r="E45" s="71"/>
      <c r="G45" s="65"/>
      <c r="H45" s="65"/>
    </row>
    <row r="46" spans="3:8" ht="12.75">
      <c r="C46" s="60"/>
      <c r="D46" s="62"/>
      <c r="E46" s="58"/>
      <c r="G46" s="65"/>
      <c r="H46" s="65"/>
    </row>
    <row r="47" spans="1:8" ht="20.25" customHeight="1" hidden="1" thickBot="1">
      <c r="A47" s="285" t="s">
        <v>52</v>
      </c>
      <c r="B47" s="285"/>
      <c r="C47" s="285"/>
      <c r="D47" s="285"/>
      <c r="E47" s="285"/>
      <c r="F47" s="285"/>
      <c r="G47" s="65"/>
      <c r="H47" s="65"/>
    </row>
    <row r="48" spans="1:8" s="6" customFormat="1" ht="18" hidden="1">
      <c r="A48" s="50" t="s">
        <v>51</v>
      </c>
      <c r="B48"/>
      <c r="C48" s="17"/>
      <c r="D48" s="17"/>
      <c r="E48" s="22"/>
      <c r="F48" s="35"/>
      <c r="G48" s="66"/>
      <c r="H48" s="66"/>
    </row>
    <row r="49" spans="1:9" ht="31.5" customHeight="1" hidden="1">
      <c r="A49" s="3"/>
      <c r="B49" t="s">
        <v>26</v>
      </c>
      <c r="C49" s="68">
        <f>+C34</f>
        <v>476000</v>
      </c>
      <c r="D49" s="69">
        <f>+D34</f>
        <v>0</v>
      </c>
      <c r="E49" s="68">
        <f>+E34</f>
        <v>476000</v>
      </c>
      <c r="F49" s="79">
        <f>+E49/E50</f>
        <v>1</v>
      </c>
      <c r="G49" s="65"/>
      <c r="H49" s="65"/>
      <c r="I49" s="144"/>
    </row>
    <row r="50" spans="2:8" ht="18.75" customHeight="1" hidden="1">
      <c r="B50" s="14" t="s">
        <v>14</v>
      </c>
      <c r="C50" s="151">
        <f>ROUND(SUM(C49:C49),0)</f>
        <v>476000</v>
      </c>
      <c r="D50" s="151">
        <f>E50-C50</f>
        <v>0</v>
      </c>
      <c r="E50" s="151">
        <f>ROUND(SUM(E49:E49),0)</f>
        <v>476000</v>
      </c>
      <c r="F50" s="79"/>
      <c r="G50" s="65"/>
      <c r="H50" s="65"/>
    </row>
    <row r="51" spans="2:8" ht="12.75" hidden="1">
      <c r="B51" t="s">
        <v>16</v>
      </c>
      <c r="C51" s="32" t="e">
        <f>+(#REF!*C40+#REF!*C41)*C49</f>
        <v>#REF!</v>
      </c>
      <c r="D51" s="32" t="e">
        <f>E51-C51</f>
        <v>#REF!</v>
      </c>
      <c r="E51" s="32" t="e">
        <f>+(#REF!*E40+#REF!*E41)*E49</f>
        <v>#REF!</v>
      </c>
      <c r="F51" s="79" t="e">
        <f>+E51/E50</f>
        <v>#REF!</v>
      </c>
      <c r="G51" s="65"/>
      <c r="H51" s="65"/>
    </row>
    <row r="52" spans="2:8" ht="12.75" hidden="1">
      <c r="B52" s="14" t="s">
        <v>23</v>
      </c>
      <c r="C52" s="31" t="e">
        <f>C50-C51</f>
        <v>#REF!</v>
      </c>
      <c r="D52" s="31" t="e">
        <f>E52-C52</f>
        <v>#REF!</v>
      </c>
      <c r="E52" s="31" t="e">
        <f>E50-E51</f>
        <v>#REF!</v>
      </c>
      <c r="F52" s="79" t="e">
        <f>+E52/E50</f>
        <v>#REF!</v>
      </c>
      <c r="G52" s="65"/>
      <c r="H52" s="65"/>
    </row>
    <row r="53" spans="1:8" ht="12.75" hidden="1">
      <c r="A53" s="9" t="s">
        <v>12</v>
      </c>
      <c r="C53" s="25"/>
      <c r="D53" s="25"/>
      <c r="E53" s="29"/>
      <c r="F53" s="79"/>
      <c r="G53" s="65"/>
      <c r="H53" s="65"/>
    </row>
    <row r="54" spans="2:8" s="9" customFormat="1" ht="18" customHeight="1" hidden="1">
      <c r="B54" t="s">
        <v>22</v>
      </c>
      <c r="C54" s="68">
        <f>ROUND(+C43*C50,0)</f>
        <v>80920</v>
      </c>
      <c r="D54" s="69">
        <f>E54-C54</f>
        <v>0</v>
      </c>
      <c r="E54" s="70">
        <f>ROUND(+E43*E50,0)</f>
        <v>80920</v>
      </c>
      <c r="F54" s="79">
        <f>+E54/E50</f>
        <v>0.17</v>
      </c>
      <c r="G54" s="59"/>
      <c r="H54" s="59"/>
    </row>
    <row r="55" spans="2:8" ht="12.75" hidden="1">
      <c r="B55" s="12" t="s">
        <v>13</v>
      </c>
      <c r="C55" s="68">
        <f>+C44</f>
        <v>100000</v>
      </c>
      <c r="D55" s="72">
        <f>E55-C55</f>
        <v>0</v>
      </c>
      <c r="E55" s="71">
        <f>+E44</f>
        <v>100000</v>
      </c>
      <c r="F55" s="79">
        <f>+E55/E50</f>
        <v>0.21008403361344538</v>
      </c>
      <c r="G55" s="65"/>
      <c r="H55" s="65"/>
    </row>
    <row r="56" spans="1:8" ht="12.75" hidden="1">
      <c r="A56" s="9" t="s">
        <v>4</v>
      </c>
      <c r="B56" s="15" t="s">
        <v>17</v>
      </c>
      <c r="C56" s="30">
        <f>SUM(C54:C55)</f>
        <v>180920</v>
      </c>
      <c r="D56" s="30">
        <f>SUM(D54:D55)</f>
        <v>0</v>
      </c>
      <c r="E56" s="31">
        <f>SUM(E54:E55)</f>
        <v>180920</v>
      </c>
      <c r="F56" s="79"/>
      <c r="G56" s="65"/>
      <c r="H56" s="65"/>
    </row>
    <row r="57" spans="1:6" ht="18.75" hidden="1" thickBot="1">
      <c r="A57" s="5" t="s">
        <v>15</v>
      </c>
      <c r="B57" s="5"/>
      <c r="C57" s="73" t="e">
        <f>+C52-C56</f>
        <v>#REF!</v>
      </c>
      <c r="D57" s="74" t="e">
        <f>+D52-D56</f>
        <v>#REF!</v>
      </c>
      <c r="E57" s="78" t="e">
        <f>+E52-E56</f>
        <v>#REF!</v>
      </c>
      <c r="F57" s="54" t="e">
        <f>+E57/E50</f>
        <v>#REF!</v>
      </c>
    </row>
    <row r="58" spans="1:6" ht="18">
      <c r="A58" s="5"/>
      <c r="B58" s="5"/>
      <c r="C58" s="75"/>
      <c r="D58" s="76"/>
      <c r="E58" s="77"/>
      <c r="F58" s="63"/>
    </row>
  </sheetData>
  <sheetProtection/>
  <mergeCells count="3">
    <mergeCell ref="A2:E2"/>
    <mergeCell ref="G31:I31"/>
    <mergeCell ref="A47:F47"/>
  </mergeCells>
  <conditionalFormatting sqref="D34:D38">
    <cfRule type="aboveAverage" priority="1" dxfId="0">
      <formula>D34&gt;AVERAGE(IF(ISERROR($D$34:$D$38),"",IF(ISBLANK($D$34:$D$38),"",$D$34:$D$38)))</formula>
    </cfRule>
  </conditionalFormatting>
  <printOptions horizontalCentered="1"/>
  <pageMargins left="0.75" right="0.25" top="0.28" bottom="0.37" header="0.44" footer="0.17"/>
  <pageSetup cellComments="asDisplayed" fitToHeight="1" fitToWidth="1" horizontalDpi="600" verticalDpi="600" orientation="landscape" scale="59" r:id="rId3"/>
  <headerFooter alignWithMargins="0">
    <oddHeader>&amp;R&amp;A</oddHeader>
    <oddFooter>&amp;LProfit Equation Planner - Wineries&amp;CCopyright: Brotemarkle, Davis &amp; Co. LLP
707.963.4466&amp;R&amp;D   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58"/>
  <sheetViews>
    <sheetView zoomScale="110" zoomScaleNormal="110" zoomScalePageLayoutView="0" workbookViewId="0" topLeftCell="A33">
      <pane ySplit="2175" topLeftCell="A2" activePane="bottomLeft" state="split"/>
      <selection pane="topLeft" activeCell="B1" sqref="B1"/>
      <selection pane="bottomLeft" activeCell="B1" sqref="B1"/>
    </sheetView>
  </sheetViews>
  <sheetFormatPr defaultColWidth="9.140625" defaultRowHeight="12.75" outlineLevelRow="1"/>
  <cols>
    <col min="1" max="1" width="3.28125" style="9" customWidth="1"/>
    <col min="2" max="2" width="50.421875" style="0" customWidth="1"/>
    <col min="3" max="3" width="17.00390625" style="0" bestFit="1" customWidth="1"/>
    <col min="4" max="4" width="20.140625" style="2" customWidth="1"/>
    <col min="5" max="5" width="17.28125" style="9" bestFit="1" customWidth="1"/>
    <col min="6" max="6" width="12.57421875" style="35" bestFit="1" customWidth="1"/>
    <col min="7" max="7" width="11.57421875" style="0" bestFit="1" customWidth="1"/>
    <col min="8" max="8" width="18.00390625" style="0" bestFit="1" customWidth="1"/>
    <col min="9" max="9" width="15.7109375" style="0" customWidth="1"/>
    <col min="10" max="10" width="14.421875" style="0" bestFit="1" customWidth="1"/>
    <col min="12" max="12" width="16.00390625" style="0" bestFit="1" customWidth="1"/>
    <col min="13" max="13" width="14.28125" style="0" bestFit="1" customWidth="1"/>
  </cols>
  <sheetData>
    <row r="1" ht="6" customHeight="1"/>
    <row r="2" spans="1:10" s="8" customFormat="1" ht="26.25">
      <c r="A2" s="283" t="s">
        <v>117</v>
      </c>
      <c r="B2" s="283"/>
      <c r="C2" s="283"/>
      <c r="D2" s="283"/>
      <c r="E2" s="283"/>
      <c r="F2" s="37"/>
      <c r="H2"/>
      <c r="I2" s="1" t="s">
        <v>80</v>
      </c>
      <c r="J2" s="1" t="s">
        <v>81</v>
      </c>
    </row>
    <row r="3" spans="1:10" ht="15.75">
      <c r="A3" s="170" t="s">
        <v>26</v>
      </c>
      <c r="C3" s="3"/>
      <c r="E3" s="1"/>
      <c r="H3" s="8" t="s">
        <v>78</v>
      </c>
      <c r="I3" s="237">
        <f>+'Scenario 1'!I3</f>
        <v>10400</v>
      </c>
      <c r="J3" s="235"/>
    </row>
    <row r="4" spans="3:10" ht="15">
      <c r="C4" s="7"/>
      <c r="D4" s="224" t="s">
        <v>0</v>
      </c>
      <c r="E4" s="7"/>
      <c r="H4" t="s">
        <v>79</v>
      </c>
      <c r="I4" s="237">
        <f>+'Scenario 1'!I4</f>
        <v>2600</v>
      </c>
      <c r="J4" s="235"/>
    </row>
    <row r="5" spans="1:12" ht="20.25">
      <c r="A5" s="51" t="s">
        <v>34</v>
      </c>
      <c r="C5" s="67" t="s">
        <v>1</v>
      </c>
      <c r="D5" s="67" t="s">
        <v>20</v>
      </c>
      <c r="E5" s="67" t="s">
        <v>2</v>
      </c>
      <c r="H5" t="s">
        <v>47</v>
      </c>
      <c r="I5" s="238">
        <v>1000</v>
      </c>
      <c r="J5" s="236">
        <f>+Inputs!B39</f>
        <v>0</v>
      </c>
      <c r="K5" s="154" t="e">
        <f>+J5/J4</f>
        <v>#DIV/0!</v>
      </c>
      <c r="L5" s="223" t="s">
        <v>99</v>
      </c>
    </row>
    <row r="6" spans="1:6" s="167" customFormat="1" ht="15">
      <c r="A6" s="163" t="s">
        <v>31</v>
      </c>
      <c r="B6" s="163"/>
      <c r="C6" s="164">
        <v>260</v>
      </c>
      <c r="D6" s="179"/>
      <c r="E6" s="165">
        <f>+C6+D6</f>
        <v>260</v>
      </c>
      <c r="F6" s="166"/>
    </row>
    <row r="7" spans="1:8" s="167" customFormat="1" ht="15">
      <c r="A7" s="163" t="s">
        <v>77</v>
      </c>
      <c r="B7" s="163"/>
      <c r="C7" s="184">
        <v>40</v>
      </c>
      <c r="D7" s="180"/>
      <c r="E7" s="188">
        <f>+C7+D7</f>
        <v>40</v>
      </c>
      <c r="F7" s="209"/>
      <c r="H7" s="167" t="s">
        <v>137</v>
      </c>
    </row>
    <row r="8" spans="1:6" s="167" customFormat="1" ht="15">
      <c r="A8" s="163" t="s">
        <v>30</v>
      </c>
      <c r="B8" s="163"/>
      <c r="C8" s="186">
        <v>10</v>
      </c>
      <c r="D8" s="241"/>
      <c r="E8" s="245">
        <f>+C8+D8</f>
        <v>10</v>
      </c>
      <c r="F8" s="209"/>
    </row>
    <row r="9" spans="1:10" s="167" customFormat="1" ht="15.75">
      <c r="A9" s="163" t="s">
        <v>32</v>
      </c>
      <c r="B9" s="163"/>
      <c r="C9" s="189">
        <f>+C8/C7</f>
        <v>0.25</v>
      </c>
      <c r="D9" s="168"/>
      <c r="E9" s="169">
        <f>+E8/E7</f>
        <v>0.25</v>
      </c>
      <c r="F9" s="166"/>
      <c r="H9" s="170" t="s">
        <v>46</v>
      </c>
      <c r="I9" s="170" t="s">
        <v>47</v>
      </c>
      <c r="J9" s="170" t="s">
        <v>48</v>
      </c>
    </row>
    <row r="10" spans="1:10" s="167" customFormat="1" ht="15">
      <c r="A10" s="163" t="s">
        <v>35</v>
      </c>
      <c r="B10" s="163"/>
      <c r="C10" s="185">
        <f>+H11/12</f>
        <v>0.38461666666666666</v>
      </c>
      <c r="D10" s="212">
        <f>+J10</f>
        <v>0.1153833</v>
      </c>
      <c r="E10" s="187">
        <f>+C10+D10</f>
        <v>0.4999999666666667</v>
      </c>
      <c r="F10" s="166"/>
      <c r="G10" s="171"/>
      <c r="H10" s="234">
        <v>6</v>
      </c>
      <c r="I10" s="211">
        <f>ROUND(+H10/12,6)</f>
        <v>0.5</v>
      </c>
      <c r="J10" s="211">
        <f>ROUND(+I10-C10,7)</f>
        <v>0.1153833</v>
      </c>
    </row>
    <row r="11" spans="1:9" s="167" customFormat="1" ht="24" customHeight="1" thickBot="1">
      <c r="A11" s="163" t="s">
        <v>36</v>
      </c>
      <c r="B11" s="163"/>
      <c r="C11" s="210">
        <f>+C10*C6*C8</f>
        <v>1000.0033333333333</v>
      </c>
      <c r="D11" s="172"/>
      <c r="E11" s="205">
        <f>ROUND(+E6*E9*E7*E10,2)</f>
        <v>1300</v>
      </c>
      <c r="F11" s="171">
        <f>+E11-C11</f>
        <v>299.99666666666667</v>
      </c>
      <c r="H11" s="218">
        <v>4.6154</v>
      </c>
      <c r="I11" s="167" t="s">
        <v>1</v>
      </c>
    </row>
    <row r="12" spans="1:6" s="167" customFormat="1" ht="3" customHeight="1" thickTop="1">
      <c r="A12" s="170"/>
      <c r="C12" s="173"/>
      <c r="D12" s="174"/>
      <c r="E12" s="173"/>
      <c r="F12" s="166"/>
    </row>
    <row r="13" spans="1:9" s="167" customFormat="1" ht="18">
      <c r="A13" s="5" t="s">
        <v>44</v>
      </c>
      <c r="C13" s="175" t="s">
        <v>1</v>
      </c>
      <c r="D13" s="67" t="s">
        <v>20</v>
      </c>
      <c r="E13" s="175" t="s">
        <v>2</v>
      </c>
      <c r="F13" s="166"/>
      <c r="G13" s="175" t="s">
        <v>1</v>
      </c>
      <c r="H13" s="67" t="s">
        <v>20</v>
      </c>
      <c r="I13" s="175" t="s">
        <v>2</v>
      </c>
    </row>
    <row r="14" spans="1:11" s="167" customFormat="1" ht="15.75">
      <c r="A14" s="170" t="s">
        <v>41</v>
      </c>
      <c r="C14" s="173"/>
      <c r="D14" s="174"/>
      <c r="E14" s="173"/>
      <c r="F14" s="222" t="s">
        <v>88</v>
      </c>
      <c r="G14" s="170" t="s">
        <v>90</v>
      </c>
      <c r="J14" s="221" t="s">
        <v>89</v>
      </c>
      <c r="K14" s="167">
        <v>2014</v>
      </c>
    </row>
    <row r="15" spans="1:10" s="167" customFormat="1" ht="15.75">
      <c r="A15" s="170"/>
      <c r="B15" s="167" t="s">
        <v>118</v>
      </c>
      <c r="C15" s="191">
        <f>1-C16</f>
        <v>0.5085500000000001</v>
      </c>
      <c r="D15" s="246">
        <f>+C15*C11/E11-C15</f>
        <v>-0.11735638833333334</v>
      </c>
      <c r="E15" s="191">
        <f>+D15+C15</f>
        <v>0.3911936116666667</v>
      </c>
      <c r="F15" s="217">
        <f aca="true" t="shared" si="0" ref="F15:F20">+D15*$C$11</f>
        <v>-117.35677952129446</v>
      </c>
      <c r="G15" s="193">
        <v>240</v>
      </c>
      <c r="H15" s="192"/>
      <c r="I15" s="194">
        <f>+H15+G15</f>
        <v>240</v>
      </c>
      <c r="J15" s="220">
        <f>+I15/12</f>
        <v>20</v>
      </c>
    </row>
    <row r="16" spans="1:10" s="167" customFormat="1" ht="15.75">
      <c r="A16" s="170"/>
      <c r="B16" s="167" t="s">
        <v>119</v>
      </c>
      <c r="C16" s="191">
        <v>0.49145</v>
      </c>
      <c r="D16" s="247">
        <f>-D17-D15</f>
        <v>-0.11341027833333334</v>
      </c>
      <c r="E16" s="191">
        <f>+D16+C16</f>
        <v>0.37803972166666666</v>
      </c>
      <c r="F16" s="217">
        <f t="shared" si="0"/>
        <v>-113.41065636759444</v>
      </c>
      <c r="G16" s="193">
        <v>720</v>
      </c>
      <c r="H16" s="192"/>
      <c r="I16" s="194">
        <f>+H16+G16</f>
        <v>720</v>
      </c>
      <c r="J16" s="220">
        <f aca="true" t="shared" si="1" ref="J16:J30">+I16/12</f>
        <v>60</v>
      </c>
    </row>
    <row r="17" spans="1:10" s="167" customFormat="1" ht="15.75">
      <c r="A17" s="170"/>
      <c r="B17" s="167" t="s">
        <v>100</v>
      </c>
      <c r="C17" s="190"/>
      <c r="D17" s="268">
        <f>+F11/E11</f>
        <v>0.23076666666666668</v>
      </c>
      <c r="E17" s="191">
        <f aca="true" t="shared" si="2" ref="E17:E30">+D17+C17</f>
        <v>0.23076666666666668</v>
      </c>
      <c r="F17" s="217">
        <f t="shared" si="0"/>
        <v>230.76743588888888</v>
      </c>
      <c r="G17" s="193">
        <f>15*12</f>
        <v>180</v>
      </c>
      <c r="H17" s="192"/>
      <c r="I17" s="194">
        <f aca="true" t="shared" si="3" ref="I17:I30">+H17+G17</f>
        <v>180</v>
      </c>
      <c r="J17" s="220">
        <f t="shared" si="1"/>
        <v>15</v>
      </c>
    </row>
    <row r="18" spans="1:10" s="167" customFormat="1" ht="15.75">
      <c r="A18" s="170"/>
      <c r="B18" s="167" t="s">
        <v>101</v>
      </c>
      <c r="C18" s="190"/>
      <c r="D18" s="248"/>
      <c r="E18" s="191">
        <f t="shared" si="2"/>
        <v>0</v>
      </c>
      <c r="F18" s="217">
        <f t="shared" si="0"/>
        <v>0</v>
      </c>
      <c r="G18" s="193">
        <v>0</v>
      </c>
      <c r="H18" s="192"/>
      <c r="I18" s="194">
        <f t="shared" si="3"/>
        <v>0</v>
      </c>
      <c r="J18" s="220">
        <f t="shared" si="1"/>
        <v>0</v>
      </c>
    </row>
    <row r="19" spans="1:10" s="167" customFormat="1" ht="15.75">
      <c r="A19" s="170"/>
      <c r="B19" s="167" t="s">
        <v>102</v>
      </c>
      <c r="C19" s="190"/>
      <c r="D19" s="248"/>
      <c r="E19" s="191">
        <f t="shared" si="2"/>
        <v>0</v>
      </c>
      <c r="F19" s="217">
        <f t="shared" si="0"/>
        <v>0</v>
      </c>
      <c r="G19" s="193">
        <v>0</v>
      </c>
      <c r="H19" s="192"/>
      <c r="I19" s="194">
        <f t="shared" si="3"/>
        <v>0</v>
      </c>
      <c r="J19" s="220">
        <f t="shared" si="1"/>
        <v>0</v>
      </c>
    </row>
    <row r="20" spans="1:10" s="167" customFormat="1" ht="15.75">
      <c r="A20" s="170"/>
      <c r="B20" s="167" t="s">
        <v>103</v>
      </c>
      <c r="C20" s="190"/>
      <c r="D20" s="248"/>
      <c r="E20" s="191">
        <f t="shared" si="2"/>
        <v>0</v>
      </c>
      <c r="F20" s="217">
        <f t="shared" si="0"/>
        <v>0</v>
      </c>
      <c r="G20" s="193">
        <v>0</v>
      </c>
      <c r="H20" s="192"/>
      <c r="I20" s="194">
        <f t="shared" si="3"/>
        <v>0</v>
      </c>
      <c r="J20" s="220">
        <f t="shared" si="1"/>
        <v>0</v>
      </c>
    </row>
    <row r="21" spans="1:10" s="167" customFormat="1" ht="15.75">
      <c r="A21" s="170"/>
      <c r="B21" s="167" t="s">
        <v>104</v>
      </c>
      <c r="C21" s="190"/>
      <c r="D21" s="248"/>
      <c r="E21" s="191">
        <f t="shared" si="2"/>
        <v>0</v>
      </c>
      <c r="F21" s="217">
        <f aca="true" t="shared" si="4" ref="F21:F30">+D21*$C$11</f>
        <v>0</v>
      </c>
      <c r="G21" s="193">
        <v>0</v>
      </c>
      <c r="H21" s="192"/>
      <c r="I21" s="194">
        <f t="shared" si="3"/>
        <v>0</v>
      </c>
      <c r="J21" s="220">
        <f t="shared" si="1"/>
        <v>0</v>
      </c>
    </row>
    <row r="22" spans="1:10" s="167" customFormat="1" ht="15.75" hidden="1">
      <c r="A22" s="170"/>
      <c r="B22" s="167" t="s">
        <v>105</v>
      </c>
      <c r="C22" s="190"/>
      <c r="D22" s="248"/>
      <c r="E22" s="191">
        <f t="shared" si="2"/>
        <v>0</v>
      </c>
      <c r="F22" s="217">
        <f t="shared" si="4"/>
        <v>0</v>
      </c>
      <c r="G22" s="193">
        <v>0</v>
      </c>
      <c r="H22" s="192"/>
      <c r="I22" s="194">
        <f t="shared" si="3"/>
        <v>0</v>
      </c>
      <c r="J22" s="220">
        <f t="shared" si="1"/>
        <v>0</v>
      </c>
    </row>
    <row r="23" spans="1:10" s="167" customFormat="1" ht="15.75" hidden="1">
      <c r="A23" s="170"/>
      <c r="B23" s="167" t="s">
        <v>106</v>
      </c>
      <c r="C23" s="190"/>
      <c r="D23" s="213"/>
      <c r="E23" s="191">
        <f t="shared" si="2"/>
        <v>0</v>
      </c>
      <c r="F23" s="217">
        <f t="shared" si="4"/>
        <v>0</v>
      </c>
      <c r="G23" s="193">
        <v>0</v>
      </c>
      <c r="H23" s="192"/>
      <c r="I23" s="194">
        <f t="shared" si="3"/>
        <v>0</v>
      </c>
      <c r="J23" s="220">
        <f t="shared" si="1"/>
        <v>0</v>
      </c>
    </row>
    <row r="24" spans="1:10" s="167" customFormat="1" ht="15.75" hidden="1" outlineLevel="1">
      <c r="A24" s="170"/>
      <c r="B24" s="167" t="s">
        <v>107</v>
      </c>
      <c r="C24" s="190"/>
      <c r="D24" s="213"/>
      <c r="E24" s="191">
        <f t="shared" si="2"/>
        <v>0</v>
      </c>
      <c r="F24" s="217">
        <f t="shared" si="4"/>
        <v>0</v>
      </c>
      <c r="G24" s="193">
        <v>0</v>
      </c>
      <c r="H24" s="192"/>
      <c r="I24" s="194">
        <f t="shared" si="3"/>
        <v>0</v>
      </c>
      <c r="J24" s="220">
        <f t="shared" si="1"/>
        <v>0</v>
      </c>
    </row>
    <row r="25" spans="1:10" s="167" customFormat="1" ht="15.75" hidden="1" outlineLevel="1">
      <c r="A25" s="170"/>
      <c r="B25" s="167" t="s">
        <v>108</v>
      </c>
      <c r="C25" s="190"/>
      <c r="D25" s="213"/>
      <c r="E25" s="191">
        <f t="shared" si="2"/>
        <v>0</v>
      </c>
      <c r="F25" s="217">
        <f t="shared" si="4"/>
        <v>0</v>
      </c>
      <c r="G25" s="193">
        <v>0</v>
      </c>
      <c r="H25" s="192"/>
      <c r="I25" s="194">
        <f t="shared" si="3"/>
        <v>0</v>
      </c>
      <c r="J25" s="220">
        <f t="shared" si="1"/>
        <v>0</v>
      </c>
    </row>
    <row r="26" spans="1:10" s="167" customFormat="1" ht="15.75" hidden="1" outlineLevel="1">
      <c r="A26" s="170"/>
      <c r="B26" s="167" t="s">
        <v>109</v>
      </c>
      <c r="C26" s="190"/>
      <c r="D26" s="213"/>
      <c r="E26" s="191">
        <f t="shared" si="2"/>
        <v>0</v>
      </c>
      <c r="F26" s="217">
        <f t="shared" si="4"/>
        <v>0</v>
      </c>
      <c r="G26" s="193">
        <v>0</v>
      </c>
      <c r="H26" s="192"/>
      <c r="I26" s="194">
        <f t="shared" si="3"/>
        <v>0</v>
      </c>
      <c r="J26" s="220">
        <f t="shared" si="1"/>
        <v>0</v>
      </c>
    </row>
    <row r="27" spans="1:10" s="167" customFormat="1" ht="15.75" hidden="1" outlineLevel="1">
      <c r="A27" s="170"/>
      <c r="B27" s="167" t="s">
        <v>110</v>
      </c>
      <c r="C27" s="190"/>
      <c r="D27" s="213"/>
      <c r="E27" s="191">
        <f t="shared" si="2"/>
        <v>0</v>
      </c>
      <c r="F27" s="217">
        <f t="shared" si="4"/>
        <v>0</v>
      </c>
      <c r="G27" s="193">
        <v>0</v>
      </c>
      <c r="H27" s="192"/>
      <c r="I27" s="194">
        <f t="shared" si="3"/>
        <v>0</v>
      </c>
      <c r="J27" s="220">
        <f t="shared" si="1"/>
        <v>0</v>
      </c>
    </row>
    <row r="28" spans="1:10" s="167" customFormat="1" ht="15.75" hidden="1" outlineLevel="1">
      <c r="A28" s="170"/>
      <c r="B28" s="167" t="s">
        <v>111</v>
      </c>
      <c r="C28" s="190"/>
      <c r="D28" s="213"/>
      <c r="E28" s="191">
        <f t="shared" si="2"/>
        <v>0</v>
      </c>
      <c r="F28" s="217">
        <f t="shared" si="4"/>
        <v>0</v>
      </c>
      <c r="G28" s="193">
        <v>0</v>
      </c>
      <c r="H28" s="192"/>
      <c r="I28" s="194">
        <f t="shared" si="3"/>
        <v>0</v>
      </c>
      <c r="J28" s="220">
        <f t="shared" si="1"/>
        <v>0</v>
      </c>
    </row>
    <row r="29" spans="1:10" s="167" customFormat="1" ht="15.75" hidden="1" outlineLevel="1">
      <c r="A29" s="170"/>
      <c r="B29" s="167" t="s">
        <v>112</v>
      </c>
      <c r="C29" s="190"/>
      <c r="D29" s="213"/>
      <c r="E29" s="191">
        <f t="shared" si="2"/>
        <v>0</v>
      </c>
      <c r="F29" s="217">
        <f t="shared" si="4"/>
        <v>0</v>
      </c>
      <c r="G29" s="193"/>
      <c r="H29" s="192"/>
      <c r="I29" s="194">
        <f t="shared" si="3"/>
        <v>0</v>
      </c>
      <c r="J29" s="220">
        <f t="shared" si="1"/>
        <v>0</v>
      </c>
    </row>
    <row r="30" spans="1:10" s="167" customFormat="1" ht="15.75" hidden="1" outlineLevel="1">
      <c r="A30" s="170"/>
      <c r="B30" s="167" t="s">
        <v>113</v>
      </c>
      <c r="C30" s="190"/>
      <c r="D30" s="192"/>
      <c r="E30" s="176">
        <f t="shared" si="2"/>
        <v>0</v>
      </c>
      <c r="F30" s="217">
        <f t="shared" si="4"/>
        <v>0</v>
      </c>
      <c r="G30" s="193"/>
      <c r="H30" s="192"/>
      <c r="I30" s="194">
        <f t="shared" si="3"/>
        <v>0</v>
      </c>
      <c r="J30" s="219">
        <f t="shared" si="1"/>
        <v>0</v>
      </c>
    </row>
    <row r="31" spans="1:9" s="167" customFormat="1" ht="28.5" customHeight="1" collapsed="1">
      <c r="A31" s="170"/>
      <c r="C31" s="275">
        <f>SUM(C15:C30)</f>
        <v>1</v>
      </c>
      <c r="D31" s="276">
        <f>IF(SUM(D15:D30)&lt;&gt;0,"Error, Percentages must total zero.","")</f>
      </c>
      <c r="E31" s="277">
        <f>SUM(E15:E30)</f>
        <v>1</v>
      </c>
      <c r="F31" s="166"/>
      <c r="G31" s="284"/>
      <c r="H31" s="284"/>
      <c r="I31" s="284"/>
    </row>
    <row r="32" spans="2:5" ht="18" customHeight="1">
      <c r="B32" s="12"/>
      <c r="C32" s="52"/>
      <c r="D32" s="57"/>
      <c r="E32" s="52"/>
    </row>
    <row r="33" spans="1:6" ht="16.5" customHeight="1">
      <c r="A33" s="51" t="s">
        <v>45</v>
      </c>
      <c r="B33" s="55"/>
      <c r="C33" s="67" t="s">
        <v>1</v>
      </c>
      <c r="D33" s="67" t="s">
        <v>20</v>
      </c>
      <c r="E33" s="67" t="s">
        <v>2</v>
      </c>
      <c r="F33" s="67" t="s">
        <v>66</v>
      </c>
    </row>
    <row r="34" spans="1:12" ht="15">
      <c r="A34" s="56" t="s">
        <v>94</v>
      </c>
      <c r="B34" s="56"/>
      <c r="C34" s="159">
        <v>476000</v>
      </c>
      <c r="D34" s="160">
        <f>+E34-C34</f>
        <v>142800</v>
      </c>
      <c r="E34" s="161">
        <f>+E11*L34</f>
        <v>618800</v>
      </c>
      <c r="F34" s="162"/>
      <c r="H34" s="109"/>
      <c r="I34" s="110" t="s">
        <v>33</v>
      </c>
      <c r="J34" s="109"/>
      <c r="K34" s="109"/>
      <c r="L34" s="113">
        <v>476</v>
      </c>
    </row>
    <row r="35" spans="1:12" ht="15">
      <c r="A35" s="56" t="s">
        <v>95</v>
      </c>
      <c r="B35" s="56"/>
      <c r="C35" s="159">
        <f>+C34</f>
        <v>476000</v>
      </c>
      <c r="D35" s="160">
        <f>+E35-C35</f>
        <v>54023</v>
      </c>
      <c r="E35" s="161">
        <f>+E$11*L35</f>
        <v>530023</v>
      </c>
      <c r="F35" s="162">
        <f>+E35-E34</f>
        <v>-88777</v>
      </c>
      <c r="H35" s="112" t="s">
        <v>42</v>
      </c>
      <c r="I35" s="110" t="s">
        <v>39</v>
      </c>
      <c r="J35" s="109"/>
      <c r="K35" s="109"/>
      <c r="L35" s="113">
        <f>ROUND((+E15*$C$11*G15+E16*$C$11*G16+E17*$C$11*G17+E18*$C$11*G18+E19*$C$11*G19+E20*$C$11*G20+E21*$C$11*G21+E22*$C$11*G22+E23*$C$11*G23+E24*$C$11*G24+E25*$C$11*G25+E26*$C$11*G26+E27*$C$11*G27+E28*$C$11*G28+E29*$C$11*G29+E30*$C$11*G30)/C$11,2)+0.1</f>
        <v>407.71000000000004</v>
      </c>
    </row>
    <row r="36" spans="1:12" ht="15">
      <c r="A36" s="56" t="s">
        <v>96</v>
      </c>
      <c r="B36" s="56"/>
      <c r="C36" s="159">
        <f>+C35</f>
        <v>476000</v>
      </c>
      <c r="D36" s="160">
        <f>+E36-C36</f>
        <v>142800</v>
      </c>
      <c r="E36" s="161">
        <f>+E$11*L36</f>
        <v>618800</v>
      </c>
      <c r="F36" s="162">
        <f>+E36-E34</f>
        <v>0</v>
      </c>
      <c r="H36" s="112" t="s">
        <v>43</v>
      </c>
      <c r="I36" s="110" t="s">
        <v>40</v>
      </c>
      <c r="J36" s="109"/>
      <c r="K36" s="109"/>
      <c r="L36" s="113">
        <f>ROUND((+C15*$C$11*I15+C16*$C$11*I16+C17*$C$11*I17+C18*$C$11*I18+C19*$C$11*I19+C20*$C$11*I20+C21*$C$11*I21+C22*$C$11*I22+C23*$C$11*I23+C24*$C$11*I24+C25*$C$11*I25+C26*$C$11*I26+C27*$C$11*I27+C28*$C$11*I28+C29*$C$11*I29+C30*$C$11*I30)/C$11,2)+0.1</f>
        <v>476</v>
      </c>
    </row>
    <row r="37" spans="1:12" ht="9" customHeight="1">
      <c r="A37" s="56"/>
      <c r="B37" s="56"/>
      <c r="C37" s="159"/>
      <c r="D37" s="225"/>
      <c r="E37" s="161"/>
      <c r="F37" s="162"/>
      <c r="H37" s="226"/>
      <c r="I37" s="227"/>
      <c r="J37" s="228"/>
      <c r="K37" s="228"/>
      <c r="L37" s="229"/>
    </row>
    <row r="38" spans="1:12" ht="15">
      <c r="A38" s="56" t="s">
        <v>97</v>
      </c>
      <c r="B38" s="55"/>
      <c r="C38" s="159">
        <f>+C35</f>
        <v>476000</v>
      </c>
      <c r="D38" s="160">
        <f>+E38-C38</f>
        <v>54023</v>
      </c>
      <c r="E38" s="161">
        <f>+L38*E11</f>
        <v>530023</v>
      </c>
      <c r="F38" s="162">
        <f>+E38-E34</f>
        <v>-88777</v>
      </c>
      <c r="G38" s="1"/>
      <c r="H38" s="112" t="s">
        <v>92</v>
      </c>
      <c r="I38" s="110" t="s">
        <v>91</v>
      </c>
      <c r="J38" s="109"/>
      <c r="K38" s="109"/>
      <c r="L38" s="113">
        <f>ROUND((+E15*$C$11*I15+E16*$C$11*I16+E17*$C$11*I17+E18*$C$11*I18+E19*$C$11*I19+E20*$C$11*I20+E21*$C$11*I21+E22*$C$11*I22+E23*$C$11*I23+E24*$C$11*I24+E25*$C$11*I25+E26*$C$11*I26+E27*$C$11*I27+E28*$C$11*I28+E29*$C$11*I29+E30*$C$11*I30)/C$11,2)+0.1</f>
        <v>407.71000000000004</v>
      </c>
    </row>
    <row r="39" spans="1:11" ht="20.25" hidden="1">
      <c r="A39" s="51" t="s">
        <v>49</v>
      </c>
      <c r="C39" s="60"/>
      <c r="D39"/>
      <c r="E39" s="58"/>
      <c r="I39" s="110"/>
      <c r="J39" s="109"/>
      <c r="K39" s="109"/>
    </row>
    <row r="40" spans="1:8" ht="12.75" hidden="1">
      <c r="A40" s="12" t="s">
        <v>37</v>
      </c>
      <c r="C40" s="88">
        <v>0.4</v>
      </c>
      <c r="D40" s="80"/>
      <c r="E40" s="52">
        <f>+D40+C40</f>
        <v>0.4</v>
      </c>
      <c r="F40" s="64"/>
      <c r="G40" s="65"/>
      <c r="H40" s="65"/>
    </row>
    <row r="41" spans="1:8" ht="12.75" hidden="1">
      <c r="A41" s="12" t="s">
        <v>38</v>
      </c>
      <c r="C41" s="88">
        <v>0.3</v>
      </c>
      <c r="D41" s="80"/>
      <c r="E41" s="52">
        <f>+D41+C41</f>
        <v>0.3</v>
      </c>
      <c r="F41" s="64"/>
      <c r="G41" s="65"/>
      <c r="H41" s="65"/>
    </row>
    <row r="42" spans="1:8" ht="13.5" customHeight="1" hidden="1">
      <c r="A42" s="59"/>
      <c r="B42" s="65"/>
      <c r="C42" s="61"/>
      <c r="D42" s="61"/>
      <c r="E42" s="29"/>
      <c r="F42" s="64"/>
      <c r="G42" s="65"/>
      <c r="H42" s="65"/>
    </row>
    <row r="43" spans="1:8" ht="13.5" customHeight="1" hidden="1">
      <c r="A43" s="9" t="s">
        <v>28</v>
      </c>
      <c r="C43" s="82">
        <v>0.17</v>
      </c>
      <c r="D43" s="48"/>
      <c r="E43" s="84">
        <f>SUM(C43:D43)</f>
        <v>0.17</v>
      </c>
      <c r="G43" s="65"/>
      <c r="H43" s="65"/>
    </row>
    <row r="44" spans="1:8" ht="12.75" hidden="1">
      <c r="A44" s="9" t="s">
        <v>69</v>
      </c>
      <c r="C44" s="86">
        <v>100000</v>
      </c>
      <c r="D44" s="49"/>
      <c r="E44" s="87">
        <f>SUM(C44:D44)</f>
        <v>100000</v>
      </c>
      <c r="G44" s="65"/>
      <c r="H44" s="65"/>
    </row>
    <row r="45" spans="3:8" ht="12.75" hidden="1">
      <c r="C45" s="60"/>
      <c r="D45" s="62"/>
      <c r="E45" s="71"/>
      <c r="G45" s="65"/>
      <c r="H45" s="65"/>
    </row>
    <row r="46" spans="3:8" ht="12.75">
      <c r="C46" s="60"/>
      <c r="D46" s="62"/>
      <c r="E46" s="58"/>
      <c r="G46" s="65"/>
      <c r="H46" s="65"/>
    </row>
    <row r="47" spans="1:8" ht="20.25" customHeight="1" hidden="1" thickBot="1">
      <c r="A47" s="285" t="s">
        <v>52</v>
      </c>
      <c r="B47" s="285"/>
      <c r="C47" s="285"/>
      <c r="D47" s="285"/>
      <c r="E47" s="285"/>
      <c r="F47" s="285"/>
      <c r="G47" s="65"/>
      <c r="H47" s="65"/>
    </row>
    <row r="48" spans="1:8" s="6" customFormat="1" ht="18" hidden="1">
      <c r="A48" s="50" t="s">
        <v>51</v>
      </c>
      <c r="B48"/>
      <c r="C48" s="17"/>
      <c r="D48" s="17"/>
      <c r="E48" s="22"/>
      <c r="F48" s="35"/>
      <c r="G48" s="66"/>
      <c r="H48" s="66"/>
    </row>
    <row r="49" spans="1:9" ht="31.5" customHeight="1" hidden="1">
      <c r="A49" s="3"/>
      <c r="B49" t="s">
        <v>26</v>
      </c>
      <c r="C49" s="68">
        <f>+C34</f>
        <v>476000</v>
      </c>
      <c r="D49" s="69">
        <f>+D34</f>
        <v>142800</v>
      </c>
      <c r="E49" s="68">
        <f>+E34</f>
        <v>618800</v>
      </c>
      <c r="F49" s="79">
        <f>+E49/E50</f>
        <v>1</v>
      </c>
      <c r="G49" s="65"/>
      <c r="H49" s="65"/>
      <c r="I49" s="144"/>
    </row>
    <row r="50" spans="2:8" ht="18.75" customHeight="1" hidden="1">
      <c r="B50" s="14" t="s">
        <v>14</v>
      </c>
      <c r="C50" s="151">
        <f>ROUND(SUM(C49:C49),0)</f>
        <v>476000</v>
      </c>
      <c r="D50" s="151">
        <f>E50-C50</f>
        <v>142800</v>
      </c>
      <c r="E50" s="151">
        <f>ROUND(SUM(E49:E49),0)</f>
        <v>618800</v>
      </c>
      <c r="F50" s="79"/>
      <c r="G50" s="65"/>
      <c r="H50" s="65"/>
    </row>
    <row r="51" spans="2:8" ht="12.75" hidden="1">
      <c r="B51" t="s">
        <v>16</v>
      </c>
      <c r="C51" s="32" t="e">
        <f>+(#REF!*C40+#REF!*C41)*C49</f>
        <v>#REF!</v>
      </c>
      <c r="D51" s="32" t="e">
        <f>E51-C51</f>
        <v>#REF!</v>
      </c>
      <c r="E51" s="32" t="e">
        <f>+(#REF!*E40+#REF!*E41)*E49</f>
        <v>#REF!</v>
      </c>
      <c r="F51" s="79" t="e">
        <f>+E51/E50</f>
        <v>#REF!</v>
      </c>
      <c r="G51" s="65"/>
      <c r="H51" s="65"/>
    </row>
    <row r="52" spans="2:8" ht="12.75" hidden="1">
      <c r="B52" s="14" t="s">
        <v>23</v>
      </c>
      <c r="C52" s="31" t="e">
        <f>C50-C51</f>
        <v>#REF!</v>
      </c>
      <c r="D52" s="31" t="e">
        <f>E52-C52</f>
        <v>#REF!</v>
      </c>
      <c r="E52" s="31" t="e">
        <f>E50-E51</f>
        <v>#REF!</v>
      </c>
      <c r="F52" s="79" t="e">
        <f>+E52/E50</f>
        <v>#REF!</v>
      </c>
      <c r="G52" s="65"/>
      <c r="H52" s="65"/>
    </row>
    <row r="53" spans="1:8" ht="12.75" hidden="1">
      <c r="A53" s="9" t="s">
        <v>12</v>
      </c>
      <c r="C53" s="25"/>
      <c r="D53" s="25"/>
      <c r="E53" s="29"/>
      <c r="F53" s="79"/>
      <c r="G53" s="65"/>
      <c r="H53" s="65"/>
    </row>
    <row r="54" spans="2:8" s="9" customFormat="1" ht="18" customHeight="1" hidden="1">
      <c r="B54" t="s">
        <v>22</v>
      </c>
      <c r="C54" s="68">
        <f>ROUND(+C43*C50,0)</f>
        <v>80920</v>
      </c>
      <c r="D54" s="69">
        <f>E54-C54</f>
        <v>24276</v>
      </c>
      <c r="E54" s="70">
        <f>ROUND(+E43*E50,0)</f>
        <v>105196</v>
      </c>
      <c r="F54" s="79">
        <f>+E54/E50</f>
        <v>0.17</v>
      </c>
      <c r="G54" s="59"/>
      <c r="H54" s="59"/>
    </row>
    <row r="55" spans="2:8" ht="12.75" hidden="1">
      <c r="B55" s="12" t="s">
        <v>13</v>
      </c>
      <c r="C55" s="68">
        <f>+C44</f>
        <v>100000</v>
      </c>
      <c r="D55" s="72">
        <f>E55-C55</f>
        <v>0</v>
      </c>
      <c r="E55" s="71">
        <f>+E44</f>
        <v>100000</v>
      </c>
      <c r="F55" s="79">
        <f>+E55/E50</f>
        <v>0.16160310277957338</v>
      </c>
      <c r="G55" s="65"/>
      <c r="H55" s="65"/>
    </row>
    <row r="56" spans="1:8" ht="12.75" hidden="1">
      <c r="A56" s="9" t="s">
        <v>4</v>
      </c>
      <c r="B56" s="15" t="s">
        <v>17</v>
      </c>
      <c r="C56" s="30">
        <f>SUM(C54:C55)</f>
        <v>180920</v>
      </c>
      <c r="D56" s="30">
        <f>SUM(D54:D55)</f>
        <v>24276</v>
      </c>
      <c r="E56" s="31">
        <f>SUM(E54:E55)</f>
        <v>205196</v>
      </c>
      <c r="F56" s="79"/>
      <c r="G56" s="65"/>
      <c r="H56" s="65"/>
    </row>
    <row r="57" spans="1:6" ht="18.75" hidden="1" thickBot="1">
      <c r="A57" s="5" t="s">
        <v>15</v>
      </c>
      <c r="B57" s="5"/>
      <c r="C57" s="73" t="e">
        <f>+C52-C56</f>
        <v>#REF!</v>
      </c>
      <c r="D57" s="74" t="e">
        <f>+D52-D56</f>
        <v>#REF!</v>
      </c>
      <c r="E57" s="78" t="e">
        <f>+E52-E56</f>
        <v>#REF!</v>
      </c>
      <c r="F57" s="54" t="e">
        <f>+E57/E50</f>
        <v>#REF!</v>
      </c>
    </row>
    <row r="58" spans="1:6" ht="18">
      <c r="A58" s="5"/>
      <c r="B58" s="5"/>
      <c r="C58" s="75"/>
      <c r="D58" s="76"/>
      <c r="E58" s="77"/>
      <c r="F58" s="63"/>
    </row>
  </sheetData>
  <sheetProtection/>
  <mergeCells count="3">
    <mergeCell ref="A2:E2"/>
    <mergeCell ref="G31:I31"/>
    <mergeCell ref="A47:F47"/>
  </mergeCells>
  <conditionalFormatting sqref="D34:D38">
    <cfRule type="aboveAverage" priority="1" dxfId="0">
      <formula>D34&gt;AVERAGE(IF(ISERROR($D$34:$D$38),"",IF(ISBLANK($D$34:$D$38),"",$D$34:$D$38)))</formula>
    </cfRule>
  </conditionalFormatting>
  <printOptions horizontalCentered="1"/>
  <pageMargins left="0.75" right="0.25" top="0.28" bottom="0.37" header="0.44" footer="0.17"/>
  <pageSetup cellComments="asDisplayed" fitToHeight="1" fitToWidth="1" horizontalDpi="600" verticalDpi="600" orientation="landscape" scale="59" r:id="rId3"/>
  <headerFooter alignWithMargins="0">
    <oddHeader>&amp;R&amp;A</oddHeader>
    <oddFooter>&amp;LProfit Equation Planner - Wineries&amp;CCopyright: Brotemarkle, Davis &amp; Co. LLP
707.963.4466&amp;R&amp;D   &amp;T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58"/>
  <sheetViews>
    <sheetView zoomScale="110" zoomScaleNormal="110" zoomScalePageLayoutView="0" workbookViewId="0" topLeftCell="A32">
      <pane ySplit="2565" topLeftCell="A1" activePane="bottomLeft" state="split"/>
      <selection pane="topLeft" activeCell="B1" sqref="B1"/>
      <selection pane="bottomLeft" activeCell="B1" sqref="B1"/>
    </sheetView>
  </sheetViews>
  <sheetFormatPr defaultColWidth="9.140625" defaultRowHeight="12.75"/>
  <cols>
    <col min="1" max="1" width="3.28125" style="9" customWidth="1"/>
    <col min="2" max="2" width="50.421875" style="0" customWidth="1"/>
    <col min="3" max="3" width="17.00390625" style="0" bestFit="1" customWidth="1"/>
    <col min="4" max="4" width="20.140625" style="2" customWidth="1"/>
    <col min="5" max="5" width="17.28125" style="9" bestFit="1" customWidth="1"/>
    <col min="6" max="6" width="12.57421875" style="35" bestFit="1" customWidth="1"/>
    <col min="7" max="7" width="11.57421875" style="0" bestFit="1" customWidth="1"/>
    <col min="8" max="8" width="18.00390625" style="0" bestFit="1" customWidth="1"/>
    <col min="9" max="9" width="15.7109375" style="0" customWidth="1"/>
    <col min="10" max="10" width="14.421875" style="0" bestFit="1" customWidth="1"/>
    <col min="12" max="12" width="16.00390625" style="0" bestFit="1" customWidth="1"/>
    <col min="13" max="13" width="14.28125" style="0" bestFit="1" customWidth="1"/>
  </cols>
  <sheetData>
    <row r="1" ht="6" customHeight="1"/>
    <row r="2" spans="1:10" s="8" customFormat="1" ht="26.25">
      <c r="A2" s="283" t="s">
        <v>117</v>
      </c>
      <c r="B2" s="283"/>
      <c r="C2" s="283"/>
      <c r="D2" s="283"/>
      <c r="E2" s="283"/>
      <c r="F2" s="37"/>
      <c r="H2"/>
      <c r="I2" s="1" t="s">
        <v>80</v>
      </c>
      <c r="J2" s="1" t="s">
        <v>81</v>
      </c>
    </row>
    <row r="3" spans="1:10" ht="15.75">
      <c r="A3" s="170" t="s">
        <v>26</v>
      </c>
      <c r="C3" s="3"/>
      <c r="E3" s="1"/>
      <c r="H3" s="8" t="s">
        <v>78</v>
      </c>
      <c r="I3" s="237">
        <f>+'Scenario 2'!I3</f>
        <v>10400</v>
      </c>
      <c r="J3" s="235">
        <v>1213</v>
      </c>
    </row>
    <row r="4" spans="3:10" ht="15">
      <c r="C4" s="7"/>
      <c r="D4" s="224" t="s">
        <v>0</v>
      </c>
      <c r="E4" s="7"/>
      <c r="H4" t="s">
        <v>79</v>
      </c>
      <c r="I4" s="237">
        <f>+'Scenario 2'!I4</f>
        <v>2600</v>
      </c>
      <c r="J4" s="235">
        <v>702</v>
      </c>
    </row>
    <row r="5" spans="1:12" ht="20.25">
      <c r="A5" s="51" t="s">
        <v>34</v>
      </c>
      <c r="C5" s="67" t="s">
        <v>1</v>
      </c>
      <c r="D5" s="67" t="s">
        <v>20</v>
      </c>
      <c r="E5" s="67" t="s">
        <v>2</v>
      </c>
      <c r="H5" t="s">
        <v>47</v>
      </c>
      <c r="I5" s="280">
        <f>+C11</f>
        <v>1000.0033333333333</v>
      </c>
      <c r="J5" s="236">
        <f>+Inputs!B39</f>
        <v>0</v>
      </c>
      <c r="K5" s="154">
        <f>+J5/J4</f>
        <v>0</v>
      </c>
      <c r="L5" s="223" t="s">
        <v>99</v>
      </c>
    </row>
    <row r="6" spans="1:6" s="167" customFormat="1" ht="15">
      <c r="A6" s="163" t="s">
        <v>31</v>
      </c>
      <c r="B6" s="163"/>
      <c r="C6" s="164">
        <v>260</v>
      </c>
      <c r="D6" s="179"/>
      <c r="E6" s="165">
        <f>+C6+D6</f>
        <v>260</v>
      </c>
      <c r="F6" s="166"/>
    </row>
    <row r="7" spans="1:8" s="167" customFormat="1" ht="15">
      <c r="A7" s="163" t="s">
        <v>77</v>
      </c>
      <c r="B7" s="163"/>
      <c r="C7" s="184">
        <v>40</v>
      </c>
      <c r="D7" s="180"/>
      <c r="E7" s="188">
        <f>+C7+D7</f>
        <v>40</v>
      </c>
      <c r="F7" s="209"/>
      <c r="H7" s="167" t="s">
        <v>137</v>
      </c>
    </row>
    <row r="8" spans="1:6" s="167" customFormat="1" ht="15">
      <c r="A8" s="163" t="s">
        <v>30</v>
      </c>
      <c r="B8" s="163"/>
      <c r="C8" s="186">
        <v>10</v>
      </c>
      <c r="D8" s="241">
        <v>0.5</v>
      </c>
      <c r="E8" s="245">
        <f>+C8+D8</f>
        <v>10.5</v>
      </c>
      <c r="F8" s="209"/>
    </row>
    <row r="9" spans="1:10" s="167" customFormat="1" ht="15.75">
      <c r="A9" s="163" t="s">
        <v>32</v>
      </c>
      <c r="B9" s="163"/>
      <c r="C9" s="189">
        <f>+C8/C7</f>
        <v>0.25</v>
      </c>
      <c r="D9" s="168"/>
      <c r="E9" s="169">
        <f>+E8/E7</f>
        <v>0.2625</v>
      </c>
      <c r="F9" s="166"/>
      <c r="H9" s="170" t="s">
        <v>46</v>
      </c>
      <c r="I9" s="170" t="s">
        <v>47</v>
      </c>
      <c r="J9" s="170" t="s">
        <v>48</v>
      </c>
    </row>
    <row r="10" spans="1:10" s="167" customFormat="1" ht="15">
      <c r="A10" s="163" t="s">
        <v>35</v>
      </c>
      <c r="B10" s="163"/>
      <c r="C10" s="185">
        <f>+H11/12</f>
        <v>0.38461666666666666</v>
      </c>
      <c r="D10" s="212">
        <f>+J10</f>
        <v>0.0531123</v>
      </c>
      <c r="E10" s="187">
        <f>+C10+D10</f>
        <v>0.43772896666666666</v>
      </c>
      <c r="F10" s="166"/>
      <c r="G10" s="171"/>
      <c r="H10" s="234">
        <v>5.25275</v>
      </c>
      <c r="I10" s="211">
        <f>ROUND(+H10/12,6)</f>
        <v>0.437729</v>
      </c>
      <c r="J10" s="211">
        <f>ROUND(+I10-C10,7)</f>
        <v>0.0531123</v>
      </c>
    </row>
    <row r="11" spans="1:9" s="167" customFormat="1" ht="24" customHeight="1" thickBot="1">
      <c r="A11" s="163" t="s">
        <v>36</v>
      </c>
      <c r="B11" s="163"/>
      <c r="C11" s="210">
        <f>+C10*C6*C8</f>
        <v>1000.0033333333333</v>
      </c>
      <c r="D11" s="172"/>
      <c r="E11" s="205">
        <f>ROUND(+E6*E9*E7*E10,2)</f>
        <v>1195</v>
      </c>
      <c r="F11" s="166"/>
      <c r="H11" s="218">
        <v>4.6154</v>
      </c>
      <c r="I11" s="167" t="s">
        <v>1</v>
      </c>
    </row>
    <row r="12" spans="1:6" s="167" customFormat="1" ht="3" customHeight="1" thickTop="1">
      <c r="A12" s="170"/>
      <c r="C12" s="173"/>
      <c r="D12" s="174"/>
      <c r="E12" s="173"/>
      <c r="F12" s="166"/>
    </row>
    <row r="13" spans="1:9" s="167" customFormat="1" ht="18">
      <c r="A13" s="5" t="s">
        <v>44</v>
      </c>
      <c r="C13" s="175" t="s">
        <v>1</v>
      </c>
      <c r="D13" s="67" t="s">
        <v>20</v>
      </c>
      <c r="E13" s="175" t="s">
        <v>2</v>
      </c>
      <c r="F13" s="166"/>
      <c r="G13" s="175" t="s">
        <v>1</v>
      </c>
      <c r="H13" s="67" t="s">
        <v>20</v>
      </c>
      <c r="I13" s="175" t="s">
        <v>2</v>
      </c>
    </row>
    <row r="14" spans="1:11" s="167" customFormat="1" ht="15.75">
      <c r="A14" s="170" t="s">
        <v>41</v>
      </c>
      <c r="C14" s="173"/>
      <c r="D14" s="174"/>
      <c r="E14" s="173"/>
      <c r="F14" s="222" t="s">
        <v>88</v>
      </c>
      <c r="G14" s="170" t="s">
        <v>90</v>
      </c>
      <c r="J14" s="221" t="s">
        <v>89</v>
      </c>
      <c r="K14" s="167">
        <v>2014</v>
      </c>
    </row>
    <row r="15" spans="1:10" s="167" customFormat="1" ht="15.75">
      <c r="A15" s="170"/>
      <c r="B15" s="167" t="s">
        <v>118</v>
      </c>
      <c r="C15" s="191">
        <f>1-C16</f>
        <v>0.5085500000000001</v>
      </c>
      <c r="D15" s="278">
        <v>-0.15</v>
      </c>
      <c r="E15" s="191">
        <f>+D15+C15</f>
        <v>0.35855000000000004</v>
      </c>
      <c r="F15" s="217">
        <f aca="true" t="shared" si="0" ref="F15:F20">+D15*$C$11</f>
        <v>-150.0005</v>
      </c>
      <c r="G15" s="193">
        <v>240</v>
      </c>
      <c r="H15" s="192"/>
      <c r="I15" s="194">
        <f>+H15+G15</f>
        <v>240</v>
      </c>
      <c r="J15" s="220">
        <f>+I15/12</f>
        <v>20</v>
      </c>
    </row>
    <row r="16" spans="1:10" s="167" customFormat="1" ht="15.75">
      <c r="A16" s="170"/>
      <c r="B16" s="167" t="s">
        <v>119</v>
      </c>
      <c r="C16" s="191">
        <v>0.49145</v>
      </c>
      <c r="D16" s="274">
        <f>-D17-D15</f>
        <v>-0.05000000000000002</v>
      </c>
      <c r="E16" s="191">
        <f>+D16+C16</f>
        <v>0.44145</v>
      </c>
      <c r="F16" s="217">
        <f t="shared" si="0"/>
        <v>-50.000166666666686</v>
      </c>
      <c r="G16" s="193">
        <v>720</v>
      </c>
      <c r="H16" s="192"/>
      <c r="I16" s="194">
        <f>+H16+G16</f>
        <v>720</v>
      </c>
      <c r="J16" s="220">
        <f aca="true" t="shared" si="1" ref="J16:J30">+I16/12</f>
        <v>60</v>
      </c>
    </row>
    <row r="17" spans="1:10" s="167" customFormat="1" ht="15.75">
      <c r="A17" s="170"/>
      <c r="B17" s="167" t="s">
        <v>100</v>
      </c>
      <c r="C17" s="190"/>
      <c r="D17" s="274">
        <v>0.2</v>
      </c>
      <c r="E17" s="191">
        <f aca="true" t="shared" si="2" ref="E17:E30">+D17+C17</f>
        <v>0.2</v>
      </c>
      <c r="F17" s="217">
        <f t="shared" si="0"/>
        <v>200.0006666666667</v>
      </c>
      <c r="G17" s="193">
        <f>15*12</f>
        <v>180</v>
      </c>
      <c r="H17" s="192"/>
      <c r="I17" s="194">
        <f aca="true" t="shared" si="3" ref="I17:I30">+H17+G17</f>
        <v>180</v>
      </c>
      <c r="J17" s="220">
        <f t="shared" si="1"/>
        <v>15</v>
      </c>
    </row>
    <row r="18" spans="1:10" s="167" customFormat="1" ht="15.75">
      <c r="A18" s="170"/>
      <c r="B18" s="167" t="s">
        <v>101</v>
      </c>
      <c r="C18" s="190"/>
      <c r="D18" s="248"/>
      <c r="E18" s="191">
        <f t="shared" si="2"/>
        <v>0</v>
      </c>
      <c r="F18" s="217">
        <f t="shared" si="0"/>
        <v>0</v>
      </c>
      <c r="G18" s="193">
        <v>0</v>
      </c>
      <c r="H18" s="192"/>
      <c r="I18" s="194">
        <f t="shared" si="3"/>
        <v>0</v>
      </c>
      <c r="J18" s="220">
        <f t="shared" si="1"/>
        <v>0</v>
      </c>
    </row>
    <row r="19" spans="1:10" s="167" customFormat="1" ht="15.75">
      <c r="A19" s="170"/>
      <c r="B19" s="167" t="s">
        <v>102</v>
      </c>
      <c r="C19" s="190"/>
      <c r="D19" s="248"/>
      <c r="E19" s="191">
        <f t="shared" si="2"/>
        <v>0</v>
      </c>
      <c r="F19" s="217">
        <f t="shared" si="0"/>
        <v>0</v>
      </c>
      <c r="G19" s="193">
        <v>0</v>
      </c>
      <c r="H19" s="192"/>
      <c r="I19" s="194">
        <f t="shared" si="3"/>
        <v>0</v>
      </c>
      <c r="J19" s="220">
        <f t="shared" si="1"/>
        <v>0</v>
      </c>
    </row>
    <row r="20" spans="1:10" s="167" customFormat="1" ht="15.75">
      <c r="A20" s="170"/>
      <c r="B20" s="167" t="s">
        <v>103</v>
      </c>
      <c r="C20" s="190"/>
      <c r="D20" s="248"/>
      <c r="E20" s="191">
        <f t="shared" si="2"/>
        <v>0</v>
      </c>
      <c r="F20" s="217">
        <f t="shared" si="0"/>
        <v>0</v>
      </c>
      <c r="G20" s="193">
        <v>0</v>
      </c>
      <c r="H20" s="192"/>
      <c r="I20" s="194">
        <f t="shared" si="3"/>
        <v>0</v>
      </c>
      <c r="J20" s="220">
        <f t="shared" si="1"/>
        <v>0</v>
      </c>
    </row>
    <row r="21" spans="1:10" s="167" customFormat="1" ht="15.75" hidden="1">
      <c r="A21" s="170"/>
      <c r="B21" s="167" t="s">
        <v>104</v>
      </c>
      <c r="C21" s="190"/>
      <c r="D21" s="248"/>
      <c r="E21" s="191">
        <f t="shared" si="2"/>
        <v>0</v>
      </c>
      <c r="F21" s="217">
        <f aca="true" t="shared" si="4" ref="F21:F30">+D21*$C$11</f>
        <v>0</v>
      </c>
      <c r="G21" s="193">
        <v>0</v>
      </c>
      <c r="H21" s="192"/>
      <c r="I21" s="194">
        <f t="shared" si="3"/>
        <v>0</v>
      </c>
      <c r="J21" s="220">
        <f t="shared" si="1"/>
        <v>0</v>
      </c>
    </row>
    <row r="22" spans="1:10" s="167" customFormat="1" ht="15.75" hidden="1">
      <c r="A22" s="170"/>
      <c r="B22" s="167" t="s">
        <v>105</v>
      </c>
      <c r="C22" s="190"/>
      <c r="D22" s="248"/>
      <c r="E22" s="191">
        <f t="shared" si="2"/>
        <v>0</v>
      </c>
      <c r="F22" s="217">
        <f t="shared" si="4"/>
        <v>0</v>
      </c>
      <c r="G22" s="193">
        <v>0</v>
      </c>
      <c r="H22" s="192"/>
      <c r="I22" s="194">
        <f t="shared" si="3"/>
        <v>0</v>
      </c>
      <c r="J22" s="220">
        <f t="shared" si="1"/>
        <v>0</v>
      </c>
    </row>
    <row r="23" spans="1:10" s="167" customFormat="1" ht="15.75" hidden="1">
      <c r="A23" s="170"/>
      <c r="B23" s="167" t="s">
        <v>106</v>
      </c>
      <c r="C23" s="190"/>
      <c r="D23" s="213"/>
      <c r="E23" s="191">
        <f t="shared" si="2"/>
        <v>0</v>
      </c>
      <c r="F23" s="217">
        <f t="shared" si="4"/>
        <v>0</v>
      </c>
      <c r="G23" s="193">
        <v>0</v>
      </c>
      <c r="H23" s="192"/>
      <c r="I23" s="194">
        <f t="shared" si="3"/>
        <v>0</v>
      </c>
      <c r="J23" s="220">
        <f t="shared" si="1"/>
        <v>0</v>
      </c>
    </row>
    <row r="24" spans="1:10" s="167" customFormat="1" ht="15.75" hidden="1">
      <c r="A24" s="170"/>
      <c r="B24" s="167" t="s">
        <v>107</v>
      </c>
      <c r="C24" s="190"/>
      <c r="D24" s="213"/>
      <c r="E24" s="191">
        <f t="shared" si="2"/>
        <v>0</v>
      </c>
      <c r="F24" s="217">
        <f t="shared" si="4"/>
        <v>0</v>
      </c>
      <c r="G24" s="193">
        <v>0</v>
      </c>
      <c r="H24" s="192"/>
      <c r="I24" s="194">
        <f t="shared" si="3"/>
        <v>0</v>
      </c>
      <c r="J24" s="220">
        <f t="shared" si="1"/>
        <v>0</v>
      </c>
    </row>
    <row r="25" spans="1:10" s="167" customFormat="1" ht="15.75" hidden="1">
      <c r="A25" s="170"/>
      <c r="B25" s="167" t="s">
        <v>108</v>
      </c>
      <c r="C25" s="190"/>
      <c r="D25" s="213"/>
      <c r="E25" s="191">
        <f t="shared" si="2"/>
        <v>0</v>
      </c>
      <c r="F25" s="217">
        <f t="shared" si="4"/>
        <v>0</v>
      </c>
      <c r="G25" s="193">
        <v>0</v>
      </c>
      <c r="H25" s="192"/>
      <c r="I25" s="194">
        <f t="shared" si="3"/>
        <v>0</v>
      </c>
      <c r="J25" s="220">
        <f t="shared" si="1"/>
        <v>0</v>
      </c>
    </row>
    <row r="26" spans="1:10" s="167" customFormat="1" ht="15.75" hidden="1">
      <c r="A26" s="170"/>
      <c r="B26" s="167" t="s">
        <v>109</v>
      </c>
      <c r="C26" s="190"/>
      <c r="D26" s="213"/>
      <c r="E26" s="191">
        <f t="shared" si="2"/>
        <v>0</v>
      </c>
      <c r="F26" s="217">
        <f t="shared" si="4"/>
        <v>0</v>
      </c>
      <c r="G26" s="193">
        <v>0</v>
      </c>
      <c r="H26" s="192"/>
      <c r="I26" s="194">
        <f t="shared" si="3"/>
        <v>0</v>
      </c>
      <c r="J26" s="220">
        <f t="shared" si="1"/>
        <v>0</v>
      </c>
    </row>
    <row r="27" spans="1:10" s="167" customFormat="1" ht="15.75" hidden="1">
      <c r="A27" s="170"/>
      <c r="B27" s="167" t="s">
        <v>110</v>
      </c>
      <c r="C27" s="190"/>
      <c r="D27" s="213"/>
      <c r="E27" s="191">
        <f t="shared" si="2"/>
        <v>0</v>
      </c>
      <c r="F27" s="217">
        <f t="shared" si="4"/>
        <v>0</v>
      </c>
      <c r="G27" s="193">
        <v>0</v>
      </c>
      <c r="H27" s="192"/>
      <c r="I27" s="194">
        <f t="shared" si="3"/>
        <v>0</v>
      </c>
      <c r="J27" s="220">
        <f t="shared" si="1"/>
        <v>0</v>
      </c>
    </row>
    <row r="28" spans="1:10" s="167" customFormat="1" ht="15.75" hidden="1">
      <c r="A28" s="170"/>
      <c r="B28" s="167" t="s">
        <v>111</v>
      </c>
      <c r="C28" s="190"/>
      <c r="D28" s="213"/>
      <c r="E28" s="191">
        <f t="shared" si="2"/>
        <v>0</v>
      </c>
      <c r="F28" s="217">
        <f t="shared" si="4"/>
        <v>0</v>
      </c>
      <c r="G28" s="193">
        <v>0</v>
      </c>
      <c r="H28" s="192"/>
      <c r="I28" s="194">
        <f t="shared" si="3"/>
        <v>0</v>
      </c>
      <c r="J28" s="220">
        <f t="shared" si="1"/>
        <v>0</v>
      </c>
    </row>
    <row r="29" spans="1:10" s="167" customFormat="1" ht="15.75" hidden="1">
      <c r="A29" s="170"/>
      <c r="B29" s="167" t="s">
        <v>112</v>
      </c>
      <c r="C29" s="190"/>
      <c r="D29" s="213"/>
      <c r="E29" s="191">
        <f t="shared" si="2"/>
        <v>0</v>
      </c>
      <c r="F29" s="217">
        <f t="shared" si="4"/>
        <v>0</v>
      </c>
      <c r="G29" s="193"/>
      <c r="H29" s="192"/>
      <c r="I29" s="194">
        <f t="shared" si="3"/>
        <v>0</v>
      </c>
      <c r="J29" s="220">
        <f t="shared" si="1"/>
        <v>0</v>
      </c>
    </row>
    <row r="30" spans="1:10" s="167" customFormat="1" ht="15.75" hidden="1">
      <c r="A30" s="170"/>
      <c r="B30" s="167" t="s">
        <v>113</v>
      </c>
      <c r="C30" s="190"/>
      <c r="D30" s="192"/>
      <c r="E30" s="176">
        <f t="shared" si="2"/>
        <v>0</v>
      </c>
      <c r="F30" s="217">
        <f t="shared" si="4"/>
        <v>0</v>
      </c>
      <c r="G30" s="193"/>
      <c r="H30" s="192"/>
      <c r="I30" s="194">
        <f t="shared" si="3"/>
        <v>0</v>
      </c>
      <c r="J30" s="219">
        <f t="shared" si="1"/>
        <v>0</v>
      </c>
    </row>
    <row r="31" spans="1:9" s="167" customFormat="1" ht="15.75">
      <c r="A31" s="170"/>
      <c r="C31" s="215">
        <f>SUM(C15:C30)</f>
        <v>1</v>
      </c>
      <c r="D31" s="214">
        <f>IF(SUM(D15:D30)&lt;&gt;0,"Error, Percentages must total zero.","")</f>
      </c>
      <c r="E31" s="216">
        <f>SUM(E15:E30)</f>
        <v>1</v>
      </c>
      <c r="F31" s="166"/>
      <c r="G31" s="284"/>
      <c r="H31" s="284"/>
      <c r="I31" s="284"/>
    </row>
    <row r="32" spans="2:5" ht="18" customHeight="1">
      <c r="B32" s="12"/>
      <c r="C32" s="52"/>
      <c r="D32" s="57"/>
      <c r="E32" s="52"/>
    </row>
    <row r="33" spans="1:6" ht="16.5" customHeight="1">
      <c r="A33" s="51" t="s">
        <v>45</v>
      </c>
      <c r="B33" s="55"/>
      <c r="C33" s="67" t="s">
        <v>1</v>
      </c>
      <c r="D33" s="67" t="s">
        <v>20</v>
      </c>
      <c r="E33" s="67" t="s">
        <v>2</v>
      </c>
      <c r="F33" s="67" t="s">
        <v>66</v>
      </c>
    </row>
    <row r="34" spans="1:12" ht="15">
      <c r="A34" s="56" t="s">
        <v>94</v>
      </c>
      <c r="B34" s="56"/>
      <c r="C34" s="159">
        <v>476000</v>
      </c>
      <c r="D34" s="160">
        <f>+E34-C34</f>
        <v>92820</v>
      </c>
      <c r="E34" s="161">
        <f>+E11*L34</f>
        <v>568820</v>
      </c>
      <c r="F34" s="162"/>
      <c r="H34" s="109"/>
      <c r="I34" s="110" t="s">
        <v>33</v>
      </c>
      <c r="J34" s="109"/>
      <c r="K34" s="109"/>
      <c r="L34" s="113">
        <v>476</v>
      </c>
    </row>
    <row r="35" spans="1:12" ht="15">
      <c r="A35" s="56" t="s">
        <v>95</v>
      </c>
      <c r="B35" s="56"/>
      <c r="C35" s="159">
        <f>+C34</f>
        <v>476000</v>
      </c>
      <c r="D35" s="160">
        <f>+E35-C35</f>
        <v>49800</v>
      </c>
      <c r="E35" s="161">
        <f>+E$11*L35</f>
        <v>525800</v>
      </c>
      <c r="F35" s="162">
        <f>+E35-E34</f>
        <v>-43020</v>
      </c>
      <c r="H35" s="112" t="s">
        <v>42</v>
      </c>
      <c r="I35" s="110" t="s">
        <v>39</v>
      </c>
      <c r="J35" s="109"/>
      <c r="K35" s="109"/>
      <c r="L35" s="113">
        <f>ROUND((+E15*$C$11*G15+E16*$C$11*G16+E17*$C$11*G17+E18*$C$11*G18+E19*$C$11*G19+E20*$C$11*G20+E21*$C$11*G21+E22*$C$11*G22+E23*$C$11*G23+E24*$C$11*G24+E25*$C$11*G25+E26*$C$11*G26+E27*$C$11*G27+E28*$C$11*G28+E29*$C$11*G29+E30*$C$11*G30)/C$11,2)+0.1</f>
        <v>440</v>
      </c>
    </row>
    <row r="36" spans="1:12" ht="15">
      <c r="A36" s="56" t="s">
        <v>96</v>
      </c>
      <c r="B36" s="56"/>
      <c r="C36" s="159">
        <f>+C35</f>
        <v>476000</v>
      </c>
      <c r="D36" s="160">
        <f>+E36-C36</f>
        <v>92820</v>
      </c>
      <c r="E36" s="161">
        <f>+E$11*L36</f>
        <v>568820</v>
      </c>
      <c r="F36" s="162">
        <f>+E36-E34</f>
        <v>0</v>
      </c>
      <c r="H36" s="112" t="s">
        <v>43</v>
      </c>
      <c r="I36" s="110" t="s">
        <v>40</v>
      </c>
      <c r="J36" s="109"/>
      <c r="K36" s="109"/>
      <c r="L36" s="113">
        <f>ROUND((+C15*$C$11*I15+C16*$C$11*I16+C17*$C$11*I17+C18*$C$11*I18+C19*$C$11*I19+C20*$C$11*I20+C21*$C$11*I21+C22*$C$11*I22+C23*$C$11*I23+C24*$C$11*I24+C25*$C$11*I25+C26*$C$11*I26+C27*$C$11*I27+C28*$C$11*I28+C29*$C$11*I29+C30*$C$11*I30)/C$11,2)+0.1</f>
        <v>476</v>
      </c>
    </row>
    <row r="37" spans="1:12" ht="9" customHeight="1">
      <c r="A37" s="56"/>
      <c r="B37" s="56"/>
      <c r="C37" s="159"/>
      <c r="D37" s="225"/>
      <c r="E37" s="161"/>
      <c r="F37" s="162"/>
      <c r="H37" s="226"/>
      <c r="I37" s="227"/>
      <c r="J37" s="228"/>
      <c r="K37" s="228"/>
      <c r="L37" s="229"/>
    </row>
    <row r="38" spans="1:12" ht="15">
      <c r="A38" s="56" t="s">
        <v>97</v>
      </c>
      <c r="B38" s="55"/>
      <c r="C38" s="159">
        <f>+C35</f>
        <v>476000</v>
      </c>
      <c r="D38" s="160">
        <f>+E38-C38</f>
        <v>49800</v>
      </c>
      <c r="E38" s="161">
        <f>+L38*E11</f>
        <v>525800</v>
      </c>
      <c r="F38" s="162">
        <f>+E38-E34</f>
        <v>-43020</v>
      </c>
      <c r="G38" s="1"/>
      <c r="H38" s="112" t="s">
        <v>92</v>
      </c>
      <c r="I38" s="110" t="s">
        <v>91</v>
      </c>
      <c r="J38" s="109"/>
      <c r="K38" s="109"/>
      <c r="L38" s="113">
        <f>ROUND((+E15*$C$11*I15+E16*$C$11*I16+E17*$C$11*I17+E18*$C$11*I18+E19*$C$11*I19+E20*$C$11*I20+E21*$C$11*I21+E22*$C$11*I22+E23*$C$11*I23+E24*$C$11*I24+E25*$C$11*I25+E26*$C$11*I26+E27*$C$11*I27+E28*$C$11*I28+E29*$C$11*I29+E30*$C$11*I30)/C$11,2)+0.1</f>
        <v>440</v>
      </c>
    </row>
    <row r="39" spans="1:11" ht="20.25" hidden="1">
      <c r="A39" s="51" t="s">
        <v>49</v>
      </c>
      <c r="C39" s="60"/>
      <c r="D39"/>
      <c r="E39" s="58"/>
      <c r="I39" s="110"/>
      <c r="J39" s="109"/>
      <c r="K39" s="109"/>
    </row>
    <row r="40" spans="1:8" ht="12.75" hidden="1">
      <c r="A40" s="12" t="s">
        <v>37</v>
      </c>
      <c r="C40" s="88">
        <v>0.4</v>
      </c>
      <c r="D40" s="80"/>
      <c r="E40" s="52">
        <f>+D40+C40</f>
        <v>0.4</v>
      </c>
      <c r="F40" s="64"/>
      <c r="G40" s="65"/>
      <c r="H40" s="65"/>
    </row>
    <row r="41" spans="1:8" ht="12.75" hidden="1">
      <c r="A41" s="12" t="s">
        <v>38</v>
      </c>
      <c r="C41" s="88">
        <v>0.3</v>
      </c>
      <c r="D41" s="80"/>
      <c r="E41" s="52">
        <f>+D41+C41</f>
        <v>0.3</v>
      </c>
      <c r="F41" s="64"/>
      <c r="G41" s="65"/>
      <c r="H41" s="65"/>
    </row>
    <row r="42" spans="1:8" ht="13.5" customHeight="1" hidden="1">
      <c r="A42" s="59"/>
      <c r="B42" s="65"/>
      <c r="C42" s="61"/>
      <c r="D42" s="61"/>
      <c r="E42" s="29"/>
      <c r="F42" s="64"/>
      <c r="G42" s="65"/>
      <c r="H42" s="65"/>
    </row>
    <row r="43" spans="1:8" ht="13.5" customHeight="1" hidden="1">
      <c r="A43" s="9" t="s">
        <v>28</v>
      </c>
      <c r="C43" s="82">
        <v>0.17</v>
      </c>
      <c r="D43" s="48"/>
      <c r="E43" s="84">
        <f>SUM(C43:D43)</f>
        <v>0.17</v>
      </c>
      <c r="G43" s="65"/>
      <c r="H43" s="65"/>
    </row>
    <row r="44" spans="1:8" ht="12.75" hidden="1">
      <c r="A44" s="9" t="s">
        <v>69</v>
      </c>
      <c r="C44" s="86">
        <v>100000</v>
      </c>
      <c r="D44" s="49"/>
      <c r="E44" s="87">
        <f>SUM(C44:D44)</f>
        <v>100000</v>
      </c>
      <c r="G44" s="65"/>
      <c r="H44" s="65"/>
    </row>
    <row r="45" spans="3:8" ht="12.75" hidden="1">
      <c r="C45" s="60"/>
      <c r="D45" s="62"/>
      <c r="E45" s="71"/>
      <c r="G45" s="65"/>
      <c r="H45" s="65"/>
    </row>
    <row r="46" spans="3:8" ht="12.75">
      <c r="C46" s="60"/>
      <c r="D46" s="62"/>
      <c r="E46" s="58"/>
      <c r="G46" s="65"/>
      <c r="H46" s="65"/>
    </row>
    <row r="47" spans="1:8" ht="20.25" customHeight="1" hidden="1" thickBot="1">
      <c r="A47" s="285" t="s">
        <v>52</v>
      </c>
      <c r="B47" s="285"/>
      <c r="C47" s="285"/>
      <c r="D47" s="285"/>
      <c r="E47" s="285"/>
      <c r="F47" s="285"/>
      <c r="G47" s="65"/>
      <c r="H47" s="65"/>
    </row>
    <row r="48" spans="1:8" s="6" customFormat="1" ht="18" hidden="1">
      <c r="A48" s="50" t="s">
        <v>51</v>
      </c>
      <c r="B48"/>
      <c r="C48" s="17"/>
      <c r="D48" s="17"/>
      <c r="E48" s="22"/>
      <c r="F48" s="35"/>
      <c r="G48" s="66"/>
      <c r="H48" s="66"/>
    </row>
    <row r="49" spans="1:9" ht="31.5" customHeight="1" hidden="1">
      <c r="A49" s="3"/>
      <c r="B49" t="s">
        <v>26</v>
      </c>
      <c r="C49" s="68">
        <f>+C34</f>
        <v>476000</v>
      </c>
      <c r="D49" s="69">
        <f>+D34</f>
        <v>92820</v>
      </c>
      <c r="E49" s="68">
        <f>+E34</f>
        <v>568820</v>
      </c>
      <c r="F49" s="79">
        <f>+E49/E50</f>
        <v>1</v>
      </c>
      <c r="G49" s="65"/>
      <c r="H49" s="65"/>
      <c r="I49" s="144"/>
    </row>
    <row r="50" spans="2:8" ht="18.75" customHeight="1" hidden="1">
      <c r="B50" s="14" t="s">
        <v>14</v>
      </c>
      <c r="C50" s="151">
        <f>ROUND(SUM(C49:C49),0)</f>
        <v>476000</v>
      </c>
      <c r="D50" s="151">
        <f>E50-C50</f>
        <v>92820</v>
      </c>
      <c r="E50" s="151">
        <f>ROUND(SUM(E49:E49),0)</f>
        <v>568820</v>
      </c>
      <c r="F50" s="79"/>
      <c r="G50" s="65"/>
      <c r="H50" s="65"/>
    </row>
    <row r="51" spans="2:8" ht="12.75" hidden="1">
      <c r="B51" t="s">
        <v>16</v>
      </c>
      <c r="C51" s="32" t="e">
        <f>+(#REF!*C40+#REF!*C41)*C49</f>
        <v>#REF!</v>
      </c>
      <c r="D51" s="32" t="e">
        <f>E51-C51</f>
        <v>#REF!</v>
      </c>
      <c r="E51" s="32" t="e">
        <f>+(#REF!*E40+#REF!*E41)*E49</f>
        <v>#REF!</v>
      </c>
      <c r="F51" s="79" t="e">
        <f>+E51/E50</f>
        <v>#REF!</v>
      </c>
      <c r="G51" s="65"/>
      <c r="H51" s="65"/>
    </row>
    <row r="52" spans="2:8" ht="12.75" hidden="1">
      <c r="B52" s="14" t="s">
        <v>23</v>
      </c>
      <c r="C52" s="31" t="e">
        <f>C50-C51</f>
        <v>#REF!</v>
      </c>
      <c r="D52" s="31" t="e">
        <f>E52-C52</f>
        <v>#REF!</v>
      </c>
      <c r="E52" s="31" t="e">
        <f>E50-E51</f>
        <v>#REF!</v>
      </c>
      <c r="F52" s="79" t="e">
        <f>+E52/E50</f>
        <v>#REF!</v>
      </c>
      <c r="G52" s="65"/>
      <c r="H52" s="65"/>
    </row>
    <row r="53" spans="1:8" ht="12.75" hidden="1">
      <c r="A53" s="9" t="s">
        <v>12</v>
      </c>
      <c r="C53" s="25"/>
      <c r="D53" s="25"/>
      <c r="E53" s="29"/>
      <c r="F53" s="79"/>
      <c r="G53" s="65"/>
      <c r="H53" s="65"/>
    </row>
    <row r="54" spans="2:8" s="9" customFormat="1" ht="18" customHeight="1" hidden="1">
      <c r="B54" t="s">
        <v>22</v>
      </c>
      <c r="C54" s="68">
        <f>ROUND(+C43*C50,0)</f>
        <v>80920</v>
      </c>
      <c r="D54" s="69">
        <f>E54-C54</f>
        <v>15779</v>
      </c>
      <c r="E54" s="70">
        <f>ROUND(+E43*E50,0)</f>
        <v>96699</v>
      </c>
      <c r="F54" s="79">
        <f>+E54/E50</f>
        <v>0.16999929678984566</v>
      </c>
      <c r="G54" s="59"/>
      <c r="H54" s="59"/>
    </row>
    <row r="55" spans="2:8" ht="12.75" hidden="1">
      <c r="B55" s="12" t="s">
        <v>13</v>
      </c>
      <c r="C55" s="68">
        <f>+C44</f>
        <v>100000</v>
      </c>
      <c r="D55" s="72">
        <f>E55-C55</f>
        <v>0</v>
      </c>
      <c r="E55" s="71">
        <f>+E44</f>
        <v>100000</v>
      </c>
      <c r="F55" s="79">
        <f>+E55/E50</f>
        <v>0.17580253858865721</v>
      </c>
      <c r="G55" s="65"/>
      <c r="H55" s="65"/>
    </row>
    <row r="56" spans="1:8" ht="12.75" hidden="1">
      <c r="A56" s="9" t="s">
        <v>4</v>
      </c>
      <c r="B56" s="15" t="s">
        <v>17</v>
      </c>
      <c r="C56" s="30">
        <f>SUM(C54:C55)</f>
        <v>180920</v>
      </c>
      <c r="D56" s="30">
        <f>SUM(D54:D55)</f>
        <v>15779</v>
      </c>
      <c r="E56" s="31">
        <f>SUM(E54:E55)</f>
        <v>196699</v>
      </c>
      <c r="F56" s="79"/>
      <c r="G56" s="65"/>
      <c r="H56" s="65"/>
    </row>
    <row r="57" spans="1:6" ht="18.75" hidden="1" thickBot="1">
      <c r="A57" s="5" t="s">
        <v>15</v>
      </c>
      <c r="B57" s="5"/>
      <c r="C57" s="73" t="e">
        <f>+C52-C56</f>
        <v>#REF!</v>
      </c>
      <c r="D57" s="74" t="e">
        <f>+D52-D56</f>
        <v>#REF!</v>
      </c>
      <c r="E57" s="78" t="e">
        <f>+E52-E56</f>
        <v>#REF!</v>
      </c>
      <c r="F57" s="54" t="e">
        <f>+E57/E50</f>
        <v>#REF!</v>
      </c>
    </row>
    <row r="58" spans="1:6" ht="18">
      <c r="A58" s="5"/>
      <c r="B58" s="5"/>
      <c r="C58" s="75"/>
      <c r="D58" s="76"/>
      <c r="E58" s="77"/>
      <c r="F58" s="63"/>
    </row>
  </sheetData>
  <sheetProtection/>
  <mergeCells count="3">
    <mergeCell ref="A2:E2"/>
    <mergeCell ref="G31:I31"/>
    <mergeCell ref="A47:F47"/>
  </mergeCells>
  <conditionalFormatting sqref="D34:D38">
    <cfRule type="aboveAverage" priority="1" dxfId="0">
      <formula>D34&gt;AVERAGE(IF(ISERROR($D$34:$D$38),"",IF(ISBLANK($D$34:$D$38),"",$D$34:$D$38)))</formula>
    </cfRule>
  </conditionalFormatting>
  <printOptions horizontalCentered="1"/>
  <pageMargins left="0.75" right="0.25" top="0.28" bottom="0.37" header="0.44" footer="0.17"/>
  <pageSetup cellComments="asDisplayed" fitToHeight="1" fitToWidth="1" horizontalDpi="600" verticalDpi="600" orientation="landscape" scale="59" r:id="rId3"/>
  <headerFooter alignWithMargins="0">
    <oddHeader>&amp;R&amp;A</oddHeader>
    <oddFooter>&amp;LProfit Equation Planner - Wineries&amp;CCopyright: Brotemarkle, Davis &amp; Co. LLP
707.963.4466&amp;R&amp;D 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Mentor 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Brotemarkle, Davis &amp; Co. LLP</dc:creator>
  <cp:keywords/>
  <dc:description/>
  <cp:lastModifiedBy>geni</cp:lastModifiedBy>
  <cp:lastPrinted>2015-03-12T08:06:16Z</cp:lastPrinted>
  <dcterms:created xsi:type="dcterms:W3CDTF">1998-10-22T22:08:35Z</dcterms:created>
  <dcterms:modified xsi:type="dcterms:W3CDTF">2019-05-14T22:17:33Z</dcterms:modified>
  <cp:category/>
  <cp:version/>
  <cp:contentType/>
  <cp:contentStatus/>
</cp:coreProperties>
</file>